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tart here" sheetId="1" state="visible" r:id="rId1"/>
    <sheet name="Planner" sheetId="2" state="visible" r:id="rId2"/>
    <sheet name="Compare" sheetId="3" state="visible" r:id="rId3"/>
    <sheet name="Projection" sheetId="4" state="visible" r:id="rId4"/>
  </sheets>
  <definedNames/>
  <calcPr calcId="124519" fullCalcOnLoad="1"/>
</workbook>
</file>

<file path=xl/styles.xml><?xml version="1.0" encoding="utf-8"?>
<styleSheet xmlns="http://schemas.openxmlformats.org/spreadsheetml/2006/main">
  <numFmts count="2">
    <numFmt numFmtId="164" formatCode="[&gt;=10000000]&quot;₹&quot; ##\,##\,##\,##0;[&gt;=100000]&quot;₹&quot; ##\,##\,##0;&quot;₹&quot; ##\,##0"/>
    <numFmt numFmtId="165" formatCode="0.0%"/>
  </numFmts>
  <fonts count="21">
    <font>
      <name val="Calibri"/>
      <family val="2"/>
      <color theme="1"/>
      <sz val="11"/>
      <scheme val="minor"/>
    </font>
    <font>
      <name val="Calibri"/>
      <b val="1"/>
      <color rgb="0018181B"/>
      <sz val="18"/>
    </font>
    <font>
      <name val="Calibri"/>
      <color rgb="003F3F46"/>
      <sz val="9"/>
    </font>
    <font>
      <name val="Calibri"/>
      <b val="1"/>
      <color rgb="0018181B"/>
      <sz val="11"/>
    </font>
    <font>
      <name val="Calibri"/>
      <color rgb="0018181B"/>
      <sz val="10"/>
    </font>
    <font>
      <name val="Calibri"/>
      <b val="1"/>
      <color rgb="001D4ED8"/>
      <sz val="10"/>
    </font>
    <font>
      <name val="Calibri"/>
      <color rgb="000F766E"/>
      <sz val="9"/>
    </font>
    <font>
      <name val="Calibri"/>
      <color rgb="000F766E"/>
      <sz val="9"/>
      <u val="single"/>
    </font>
    <font>
      <name val="Calibri"/>
      <b val="1"/>
      <color rgb="003F3F46"/>
      <sz val="9"/>
    </font>
    <font>
      <name val="Calibri"/>
      <b val="1"/>
      <color rgb="003F3F46"/>
      <sz val="10"/>
    </font>
    <font>
      <name val="Calibri"/>
      <color rgb="003F3F46"/>
      <sz val="10"/>
    </font>
    <font>
      <name val="Calibri"/>
      <b val="1"/>
      <color rgb="0018181B"/>
      <sz val="10"/>
    </font>
    <font>
      <name val="Calibri"/>
      <b val="1"/>
      <color rgb="00FFFFFF"/>
      <sz val="11"/>
    </font>
    <font>
      <name val="Calibri"/>
      <b val="1"/>
      <color rgb="0018181B"/>
      <sz val="12"/>
    </font>
    <font>
      <b val="1"/>
      <color rgb="0018181B"/>
      <sz val="12"/>
    </font>
    <font>
      <color rgb="003F3F46"/>
      <sz val="9"/>
    </font>
    <font>
      <b val="1"/>
      <color rgb="003F3F46"/>
      <sz val="9"/>
    </font>
    <font>
      <b val="1"/>
      <color rgb="0018181B"/>
      <sz val="11"/>
    </font>
    <font>
      <name val="Calibri"/>
      <b val="1"/>
      <color rgb="000F766E"/>
      <sz val="10"/>
    </font>
    <font>
      <name val="Calibri"/>
      <b val="1"/>
      <color rgb="000F766E"/>
      <sz val="10"/>
      <u val="single"/>
    </font>
    <font>
      <name val="Calibri"/>
      <color rgb="0018181B"/>
      <sz val="11"/>
    </font>
  </fonts>
  <fills count="11">
    <fill>
      <patternFill/>
    </fill>
    <fill>
      <patternFill patternType="gray125"/>
    </fill>
    <fill>
      <patternFill patternType="solid">
        <fgColor rgb="00F59E0B"/>
      </patternFill>
    </fill>
    <fill>
      <patternFill patternType="solid">
        <fgColor rgb="00FEF3C7"/>
      </patternFill>
    </fill>
    <fill>
      <patternFill patternType="solid">
        <fgColor rgb="00EFF6FF"/>
      </patternFill>
    </fill>
    <fill>
      <patternFill patternType="solid">
        <fgColor rgb="00F4F4F5"/>
      </patternFill>
    </fill>
    <fill>
      <patternFill patternType="solid">
        <fgColor rgb="00FDE68A"/>
      </patternFill>
    </fill>
    <fill>
      <patternFill patternType="solid">
        <fgColor rgb="00F8FAFC"/>
      </patternFill>
    </fill>
    <fill>
      <patternFill patternType="solid">
        <fgColor rgb="001E293B"/>
      </patternFill>
    </fill>
    <fill>
      <patternFill patternType="solid">
        <fgColor rgb="00FFFFFF"/>
      </patternFill>
    </fill>
    <fill>
      <patternFill patternType="solid">
        <fgColor rgb="00E2E8F0"/>
      </patternFill>
    </fill>
  </fills>
  <borders count="22">
    <border>
      <left/>
      <right/>
      <top/>
      <bottom/>
      <diagonal/>
    </border>
    <border>
      <bottom style="thin">
        <color rgb="00E4E4E7"/>
      </bottom>
    </border>
    <border>
      <left style="thin">
        <color rgb="0094A3B8"/>
      </left>
      <right style="thin">
        <color rgb="0094A3B8"/>
      </right>
      <top style="thin">
        <color rgb="0094A3B8"/>
      </top>
      <bottom style="thin">
        <color rgb="0094A3B8"/>
      </bottom>
    </border>
    <border>
      <left style="thin">
        <color rgb="0094A3B8"/>
      </left>
      <right/>
      <top style="thin">
        <color rgb="0094A3B8"/>
      </top>
      <bottom/>
    </border>
    <border>
      <left/>
      <right/>
      <top style="thin">
        <color rgb="0094A3B8"/>
      </top>
      <bottom/>
    </border>
    <border>
      <left/>
      <right style="thin">
        <color rgb="0094A3B8"/>
      </right>
      <top style="thin">
        <color rgb="0094A3B8"/>
      </top>
      <bottom/>
    </border>
    <border>
      <left style="thin">
        <color rgb="0094A3B8"/>
      </left>
      <right/>
      <top/>
      <bottom style="thin">
        <color rgb="0094A3B8"/>
      </bottom>
    </border>
    <border>
      <left/>
      <right/>
      <top/>
      <bottom style="thin">
        <color rgb="0094A3B8"/>
      </bottom>
    </border>
    <border>
      <left/>
      <right style="thin">
        <color rgb="0094A3B8"/>
      </right>
      <top/>
      <bottom style="thin">
        <color rgb="0094A3B8"/>
      </bottom>
    </border>
    <border>
      <left style="medium">
        <color rgb="0094A3B8"/>
      </left>
      <right/>
      <top style="medium">
        <color rgb="0094A3B8"/>
      </top>
      <bottom/>
    </border>
    <border>
      <left/>
      <right/>
      <top style="medium">
        <color rgb="0094A3B8"/>
      </top>
      <bottom/>
    </border>
    <border>
      <left/>
      <right style="medium">
        <color rgb="0094A3B8"/>
      </right>
      <top style="medium">
        <color rgb="0094A3B8"/>
      </top>
      <bottom/>
    </border>
    <border>
      <left style="medium">
        <color rgb="0094A3B8"/>
      </left>
      <right/>
      <top/>
      <bottom/>
    </border>
    <border>
      <left/>
      <right/>
      <top/>
      <bottom/>
    </border>
    <border>
      <left style="thin">
        <color rgb="0094A3B8"/>
      </left>
      <right style="medium">
        <color rgb="0094A3B8"/>
      </right>
      <top style="thin">
        <color rgb="0094A3B8"/>
      </top>
      <bottom style="thin">
        <color rgb="0094A3B8"/>
      </bottom>
    </border>
    <border>
      <left style="medium">
        <color rgb="0094A3B8"/>
      </left>
      <right/>
      <top style="thin">
        <color rgb="0094A3B8"/>
      </top>
      <bottom/>
    </border>
    <border>
      <left/>
      <right style="medium">
        <color rgb="0094A3B8"/>
      </right>
      <top style="thin">
        <color rgb="0094A3B8"/>
      </top>
      <bottom/>
    </border>
    <border>
      <left style="medium">
        <color rgb="0094A3B8"/>
      </left>
      <right/>
      <top/>
      <bottom style="thin">
        <color rgb="0094A3B8"/>
      </bottom>
    </border>
    <border>
      <left/>
      <right style="medium">
        <color rgb="0094A3B8"/>
      </right>
      <top/>
      <bottom style="thin">
        <color rgb="0094A3B8"/>
      </bottom>
    </border>
    <border>
      <left style="medium">
        <color rgb="0094A3B8"/>
      </left>
      <right/>
      <top/>
      <bottom style="medium">
        <color rgb="0094A3B8"/>
      </bottom>
    </border>
    <border>
      <left/>
      <right/>
      <top/>
      <bottom style="medium">
        <color rgb="0094A3B8"/>
      </bottom>
    </border>
    <border>
      <left/>
      <right style="medium">
        <color rgb="0094A3B8"/>
      </right>
      <top/>
      <bottom style="medium">
        <color rgb="0094A3B8"/>
      </bottom>
    </border>
  </borders>
  <cellStyleXfs count="1">
    <xf numFmtId="0" fontId="0" fillId="0" borderId="0"/>
  </cellStyleXfs>
  <cellXfs count="57">
    <xf numFmtId="0" fontId="0" fillId="0" borderId="0" pivotButton="0" quotePrefix="0" xfId="0"/>
    <xf numFmtId="0" fontId="1" fillId="2" borderId="0" applyAlignment="1" pivotButton="0" quotePrefix="0" xfId="0">
      <alignment horizontal="left" vertical="center"/>
    </xf>
    <xf numFmtId="0" fontId="2" fillId="0" borderId="0" applyAlignment="1" pivotButton="0" quotePrefix="0" xfId="0">
      <alignment horizontal="left" vertical="center" wrapText="1"/>
    </xf>
    <xf numFmtId="0" fontId="19" fillId="0" borderId="0" applyAlignment="1" pivotButton="0" quotePrefix="0" xfId="0">
      <alignment horizontal="left" vertical="center"/>
    </xf>
    <xf numFmtId="0" fontId="3" fillId="3" borderId="0" applyAlignment="1" pivotButton="0" quotePrefix="0" xfId="0">
      <alignment horizontal="left" vertical="center"/>
    </xf>
    <xf numFmtId="0" fontId="8" fillId="0" borderId="0" applyAlignment="1" pivotButton="0" quotePrefix="0" xfId="0">
      <alignment horizontal="left" vertical="center"/>
    </xf>
    <xf numFmtId="0" fontId="4" fillId="0" borderId="0" applyAlignment="1" pivotButton="0" quotePrefix="0" xfId="0">
      <alignment horizontal="left" vertical="center"/>
    </xf>
    <xf numFmtId="0" fontId="5" fillId="4" borderId="0" applyAlignment="1" applyProtection="1" pivotButton="0" quotePrefix="0" xfId="0">
      <alignment horizontal="center" vertical="center"/>
      <protection locked="0" hidden="0"/>
    </xf>
    <xf numFmtId="0" fontId="2" fillId="0" borderId="0" applyAlignment="1" pivotButton="0" quotePrefix="0" xfId="0">
      <alignment horizontal="left" vertical="center"/>
    </xf>
    <xf numFmtId="1" fontId="5" fillId="4" borderId="0" applyAlignment="1" applyProtection="1" pivotButton="0" quotePrefix="0" xfId="0">
      <alignment horizontal="right" vertical="center"/>
      <protection locked="0" hidden="0"/>
    </xf>
    <xf numFmtId="0" fontId="7" fillId="0" borderId="0" applyAlignment="1" pivotButton="0" quotePrefix="0" xfId="0">
      <alignment horizontal="left" vertical="center"/>
    </xf>
    <xf numFmtId="164" fontId="5" fillId="4" borderId="0" applyAlignment="1" applyProtection="1" pivotButton="0" quotePrefix="0" xfId="0">
      <alignment horizontal="right" vertical="center"/>
      <protection locked="0" hidden="0"/>
    </xf>
    <xf numFmtId="165" fontId="5" fillId="4" borderId="0" applyAlignment="1" applyProtection="1" pivotButton="0" quotePrefix="0" xfId="0">
      <alignment horizontal="right" vertical="center"/>
      <protection locked="0" hidden="0"/>
    </xf>
    <xf numFmtId="0" fontId="12" fillId="8" borderId="9" applyAlignment="1" pivotButton="0" quotePrefix="0" xfId="0">
      <alignment horizontal="left" vertical="center"/>
    </xf>
    <xf numFmtId="0" fontId="0" fillId="0" borderId="10" pivotButton="0" quotePrefix="0" xfId="0"/>
    <xf numFmtId="0" fontId="0" fillId="0" borderId="11" pivotButton="0" quotePrefix="0" xfId="0"/>
    <xf numFmtId="0" fontId="10" fillId="7" borderId="12" applyAlignment="1" pivotButton="0" quotePrefix="0" xfId="0">
      <alignment horizontal="left" vertical="center"/>
    </xf>
    <xf numFmtId="164" fontId="13" fillId="9" borderId="2" applyAlignment="1" pivotButton="0" quotePrefix="0" xfId="0">
      <alignment horizontal="right" vertical="center"/>
    </xf>
    <xf numFmtId="0" fontId="10" fillId="7" borderId="13" applyAlignment="1" pivotButton="0" quotePrefix="0" xfId="0">
      <alignment horizontal="left" vertical="center"/>
    </xf>
    <xf numFmtId="164" fontId="13" fillId="9" borderId="14" applyAlignment="1" pivotButton="0" quotePrefix="0" xfId="0">
      <alignment horizontal="right" vertical="center"/>
    </xf>
    <xf numFmtId="164" fontId="4" fillId="0" borderId="0" applyAlignment="1" pivotButton="0" quotePrefix="0" xfId="0">
      <alignment horizontal="left" vertical="center"/>
    </xf>
    <xf numFmtId="0" fontId="13" fillId="10" borderId="15" applyAlignment="1" pivotButton="0" quotePrefix="0" xfId="0">
      <alignment horizontal="left" vertical="center" wrapText="1"/>
    </xf>
    <xf numFmtId="0" fontId="0" fillId="0" borderId="4" pivotButton="0" quotePrefix="0" xfId="0"/>
    <xf numFmtId="0" fontId="0" fillId="0" borderId="16" pivotButton="0" quotePrefix="0" xfId="0"/>
    <xf numFmtId="0" fontId="0" fillId="0" borderId="17" pivotButton="0" quotePrefix="0" xfId="0"/>
    <xf numFmtId="0" fontId="0" fillId="0" borderId="7" pivotButton="0" quotePrefix="0" xfId="0"/>
    <xf numFmtId="0" fontId="0" fillId="0" borderId="18" pivotButton="0" quotePrefix="0" xfId="0"/>
    <xf numFmtId="0" fontId="2" fillId="7" borderId="19" applyAlignment="1" pivotButton="0" quotePrefix="0" xfId="0">
      <alignment horizontal="left" vertical="center"/>
    </xf>
    <xf numFmtId="0" fontId="0" fillId="7" borderId="20" pivotButton="0" quotePrefix="0" xfId="0"/>
    <xf numFmtId="0" fontId="0" fillId="7" borderId="21" pivotButton="0" quotePrefix="0" xfId="0"/>
    <xf numFmtId="0" fontId="8" fillId="0" borderId="0" applyAlignment="1" pivotButton="0" quotePrefix="0" xfId="0">
      <alignment horizontal="right" vertical="center"/>
    </xf>
    <xf numFmtId="0" fontId="8" fillId="0" borderId="0" applyAlignment="1" pivotButton="0" quotePrefix="0" xfId="0">
      <alignment horizontal="right" vertical="center" wrapText="1"/>
    </xf>
    <xf numFmtId="0" fontId="4" fillId="0" borderId="1" applyAlignment="1" pivotButton="0" quotePrefix="0" xfId="0">
      <alignment horizontal="left" vertical="center" indent="1"/>
    </xf>
    <xf numFmtId="0" fontId="2" fillId="0" borderId="0" applyAlignment="1" pivotButton="0" quotePrefix="0" xfId="0">
      <alignment horizontal="left" vertical="center" indent="1"/>
    </xf>
    <xf numFmtId="165" fontId="9" fillId="5" borderId="0" applyAlignment="1" pivotButton="0" quotePrefix="0" xfId="0">
      <alignment horizontal="right" vertical="center"/>
    </xf>
    <xf numFmtId="165" fontId="10" fillId="5" borderId="0" applyAlignment="1" pivotButton="0" quotePrefix="0" xfId="0">
      <alignment horizontal="right" vertical="center"/>
    </xf>
    <xf numFmtId="1" fontId="4" fillId="0" borderId="0" applyAlignment="1" pivotButton="0" quotePrefix="0" xfId="0">
      <alignment horizontal="left" vertical="center"/>
    </xf>
    <xf numFmtId="0" fontId="11" fillId="0" borderId="0" applyAlignment="1" pivotButton="0" quotePrefix="0" xfId="0">
      <alignment horizontal="left" vertical="center"/>
    </xf>
    <xf numFmtId="164" fontId="10" fillId="5" borderId="0" applyAlignment="1" pivotButton="0" quotePrefix="0" xfId="0">
      <alignment horizontal="right" vertical="center"/>
    </xf>
    <xf numFmtId="0" fontId="4" fillId="0" borderId="0" applyAlignment="1" pivotButton="0" quotePrefix="0" xfId="0">
      <alignment horizontal="left" vertical="center" indent="1"/>
    </xf>
    <xf numFmtId="164" fontId="9" fillId="5" borderId="0" applyAlignment="1" pivotButton="0" quotePrefix="0" xfId="0">
      <alignment horizontal="right" vertical="center"/>
    </xf>
    <xf numFmtId="0" fontId="3" fillId="0" borderId="0" applyAlignment="1" pivotButton="0" quotePrefix="0" xfId="0">
      <alignment horizontal="left" vertical="center"/>
    </xf>
    <xf numFmtId="164" fontId="3" fillId="6" borderId="0" applyAlignment="1" pivotButton="0" quotePrefix="0" xfId="0">
      <alignment horizontal="right" vertical="center"/>
    </xf>
    <xf numFmtId="0" fontId="2" fillId="0" borderId="0" applyAlignment="1" pivotButton="0" quotePrefix="0" xfId="0">
      <alignment horizontal="left" vertical="center" indent="2"/>
    </xf>
    <xf numFmtId="165" fontId="4" fillId="0" borderId="0" applyAlignment="1" pivotButton="0" quotePrefix="0" xfId="0">
      <alignment horizontal="left" vertical="center"/>
    </xf>
    <xf numFmtId="0" fontId="8" fillId="3" borderId="0" applyAlignment="1" pivotButton="0" quotePrefix="0" xfId="0">
      <alignment horizontal="left" vertical="center" wrapText="1"/>
    </xf>
    <xf numFmtId="0" fontId="8" fillId="3" borderId="0" applyAlignment="1" pivotButton="0" quotePrefix="0" xfId="0">
      <alignment horizontal="center" vertical="center" wrapText="1"/>
    </xf>
    <xf numFmtId="0" fontId="11" fillId="0" borderId="1" applyAlignment="1" pivotButton="0" quotePrefix="0" xfId="0">
      <alignment horizontal="left" vertical="center"/>
    </xf>
    <xf numFmtId="164" fontId="20" fillId="0" borderId="1" applyAlignment="1" pivotButton="0" quotePrefix="0" xfId="0">
      <alignment horizontal="right" vertical="center"/>
    </xf>
    <xf numFmtId="0" fontId="2" fillId="0" borderId="1" applyAlignment="1" pivotButton="0" quotePrefix="0" xfId="0">
      <alignment horizontal="left" vertical="center" wrapText="1"/>
    </xf>
    <xf numFmtId="0" fontId="14" fillId="2" borderId="0" pivotButton="0" quotePrefix="0" xfId="0"/>
    <xf numFmtId="0" fontId="15" fillId="0" borderId="0" applyAlignment="1" pivotButton="0" quotePrefix="0" xfId="0">
      <alignment vertical="center" wrapText="1"/>
    </xf>
    <xf numFmtId="0" fontId="17" fillId="10" borderId="0" applyAlignment="1" pivotButton="0" quotePrefix="0" xfId="0">
      <alignment vertical="center" wrapText="1"/>
    </xf>
    <xf numFmtId="0" fontId="16" fillId="3" borderId="0" applyAlignment="1" pivotButton="0" quotePrefix="0" xfId="0">
      <alignment horizontal="center" vertical="center" wrapText="1"/>
    </xf>
    <xf numFmtId="1" fontId="15" fillId="0" borderId="0" applyAlignment="1" pivotButton="0" quotePrefix="0" xfId="0">
      <alignment horizontal="center" vertical="center"/>
    </xf>
    <xf numFmtId="0" fontId="15" fillId="0" borderId="0" applyAlignment="1" pivotButton="0" quotePrefix="0" xfId="0">
      <alignment horizontal="center" vertical="center"/>
    </xf>
    <xf numFmtId="164" fontId="15" fillId="0" borderId="0" applyAlignment="1" pivotButton="0" quotePrefix="0" xfId="0">
      <alignment horizontal="right" vertical="center"/>
    </xf>
  </cellXfs>
  <cellStyles count="1">
    <cellStyle name="Normal" xfId="0" builtinId="0" hidden="0"/>
  </cellStyles>
  <dxfs count="3">
    <dxf>
      <font>
        <name val="Calibri"/>
        <color rgb="00A1A1AA"/>
        <sz val="10"/>
      </font>
      <fill>
        <patternFill patternType="solid">
          <fgColor rgb="00F4F4F5"/>
          <bgColor rgb="00F4F4F5"/>
        </patternFill>
      </fill>
    </dxf>
    <dxf>
      <fill>
        <patternFill patternType="solid">
          <fgColor rgb="00FDE68A"/>
          <bgColor rgb="00FDE68A"/>
        </patternFill>
      </fill>
    </dxf>
    <dxf>
      <font>
        <b val="1"/>
        <color rgb="00991B1B"/>
        <sz val="9"/>
      </font>
      <fill>
        <patternFill patternType="solid">
          <fgColor rgb="00FECACA"/>
          <bgColor rgb="00FECACA"/>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charts/chart1.xml><?xml version="1.0" encoding="utf-8"?>
<chartSpace xmlns:a="http://schemas.openxmlformats.org/drawingml/2006/main" xmlns="http://schemas.openxmlformats.org/drawingml/2006/chart">
  <chart>
    <title>
      <tx>
        <rich>
          <a:bodyPr/>
          <a:p>
            <a:pPr>
              <a:defRPr/>
            </a:pPr>
            <a:r>
              <a:t>Corpus and spending in Rs million, by age  ·  planmyfire.in/planner</a:t>
            </a:r>
          </a:p>
        </rich>
      </tx>
    </title>
    <plotArea>
      <lineChart>
        <grouping val="standard"/>
        <ser>
          <idx val="0"/>
          <order val="0"/>
          <tx>
            <strRef>
              <f>'Projection'!H5</f>
            </strRef>
          </tx>
          <spPr>
            <a:ln w="22000">
              <a:prstDash val="solid"/>
            </a:ln>
          </spPr>
          <marker>
            <symbol val="none"/>
            <spPr>
              <a:ln>
                <a:prstDash val="solid"/>
              </a:ln>
            </spPr>
          </marker>
          <cat>
            <numRef>
              <f>'Projection'!$C$6:$C$108</f>
            </numRef>
          </cat>
          <val>
            <numRef>
              <f>'Projection'!$H$6:$H$108</f>
            </numRef>
          </val>
        </ser>
        <axId val="10"/>
        <axId val="100"/>
      </lineChart>
      <lineChart>
        <grouping val="standard"/>
        <ser>
          <idx val="1"/>
          <order val="1"/>
          <tx>
            <strRef>
              <f>'Projection'!F5</f>
            </strRef>
          </tx>
          <spPr>
            <a:ln w="16000">
              <a:prstDash val="solid"/>
            </a:ln>
          </spPr>
          <marker>
            <symbol val="none"/>
            <spPr>
              <a:ln>
                <a:prstDash val="solid"/>
              </a:ln>
            </spPr>
          </marker>
          <val>
            <numRef>
              <f>'Projection'!$F$6:$F$108</f>
            </numRef>
          </val>
        </ser>
        <axId val="10"/>
        <axId val="200"/>
      </lineChart>
      <catAx>
        <axId val="10"/>
        <scaling>
          <orientation val="minMax"/>
        </scaling>
        <delete val="0"/>
        <axPos val="l"/>
        <majorTickMark val="out"/>
        <minorTickMark val="none"/>
        <tickLblPos val="nextTo"/>
        <crossAx val="100"/>
        <lblOffset val="100"/>
        <tickLblSkip val="5"/>
        <tickMarkSkip val="5"/>
      </catAx>
      <valAx>
        <axId val="100"/>
        <scaling>
          <orientation val="minMax"/>
          <min val="0"/>
        </scaling>
        <delete val="0"/>
        <axPos val="l"/>
        <majorGridlines/>
        <numFmt formatCode="#,##0,," sourceLinked="0"/>
        <majorTickMark val="out"/>
        <minorTickMark val="none"/>
        <tickLblPos val="nextTo"/>
        <crossAx val="10"/>
        <crosses val="max"/>
      </valAx>
      <valAx>
        <axId val="200"/>
        <scaling>
          <orientation val="minMax"/>
          <min val="0"/>
        </scaling>
        <delete val="0"/>
        <axPos val="l"/>
        <numFmt formatCode="#,##0.0,," sourceLinked="0"/>
        <majorTickMark val="out"/>
        <minorTickMark val="none"/>
        <tickLblPos val="nextTo"/>
        <crossAx val="10"/>
      </valAx>
    </plotArea>
    <legend>
      <legendPos val="b"/>
      <overlay val="0"/>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 /></Relationships>
</file>

<file path=xl/drawings/drawing1.xml><?xml version="1.0" encoding="utf-8"?>
<wsDr xmlns:a="http://schemas.openxmlformats.org/drawingml/2006/main" xmlns:c="http://schemas.openxmlformats.org/drawingml/2006/chart" xmlns:r="http://schemas.openxmlformats.org/officeDocument/2006/relationships" xmlns="http://schemas.openxmlformats.org/drawingml/2006/spreadsheetDrawing">
  <oneCellAnchor>
    <from>
      <col>10</col>
      <colOff>0</colOff>
      <row>5</row>
      <rowOff>0</rowOff>
    </from>
    <ext cx="9360000" cy="4680000"/>
    <graphicFrame>
      <nvGraphicFramePr>
        <cNvPr id="1" name="Chart 1"/>
        <cNvGraphicFramePr/>
      </nvGraphicFramePr>
      <xfrm/>
      <a:graphic>
        <a:graphicData uri="http://schemas.openxmlformats.org/drawingml/2006/chart">
          <c:chart r:id="rId1"/>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planmyfire.in/planner" TargetMode="External" Id="rId1" /><Relationship Type="http://schemas.openxmlformats.org/officeDocument/2006/relationships/hyperlink" Target="https://planmyfire.in/planner" TargetMode="External" Id="rId2" /><Relationship Type="http://schemas.openxmlformats.org/officeDocument/2006/relationships/hyperlink" Target="https://planmyfire.in/blog/coast-fire-india" TargetMode="External" Id="rId3" /><Relationship Type="http://schemas.openxmlformats.org/officeDocument/2006/relationships/hyperlink" Target="https://planmyfire.in/blog/barista-fire-jobs-india" TargetMode="External" Id="rId4" /><Relationship Type="http://schemas.openxmlformats.org/officeDocument/2006/relationships/hyperlink" Target="https://planmyfire.in/planner" TargetMode="External" Id="rId5" /></Relationships>
</file>

<file path=xl/worksheets/_rels/sheet2.xml.rels><Relationships xmlns="http://schemas.openxmlformats.org/package/2006/relationships"><Relationship Type="http://schemas.openxmlformats.org/officeDocument/2006/relationships/hyperlink" Target="https://planmyfire.in/planner" TargetMode="External" Id="rId1" /><Relationship Type="http://schemas.openxmlformats.org/officeDocument/2006/relationships/hyperlink" Target="https://planmyfire.in/blog/is-4-percent-rule-valid-india" TargetMode="External" Id="rId2" /><Relationship Type="http://schemas.openxmlformats.org/officeDocument/2006/relationships/hyperlink" Target="https://planmyfire.in/blog/health-insurance-fire-india" TargetMode="External" Id="rId3" /><Relationship Type="http://schemas.openxmlformats.org/officeDocument/2006/relationships/hyperlink" Target="https://planmyfire.in/blog/is-4-percent-rule-valid-india" TargetMode="External" Id="rId4" /><Relationship Type="http://schemas.openxmlformats.org/officeDocument/2006/relationships/hyperlink" Target="https://planmyfire.in/calculators/fire-number" TargetMode="External" Id="rId5" /><Relationship Type="http://schemas.openxmlformats.org/officeDocument/2006/relationships/hyperlink" Target="https://planmyfire.in/blog/swr-high-inflation-india" TargetMode="External" Id="rId6" /><Relationship Type="http://schemas.openxmlformats.org/officeDocument/2006/relationships/hyperlink" Target="https://planmyfire.in/blog/health-insurance-fire-india" TargetMode="External" Id="rId7" /><Relationship Type="http://schemas.openxmlformats.org/officeDocument/2006/relationships/hyperlink" Target="https://planmyfire.in/blog/epf-ppf-nps-fire" TargetMode="External" Id="rId8" /><Relationship Type="http://schemas.openxmlformats.org/officeDocument/2006/relationships/hyperlink" Target="https://planmyfire.in/blog/withdrawal-sequencing-post-fire-india" TargetMode="External" Id="rId9" /><Relationship Type="http://schemas.openxmlformats.org/officeDocument/2006/relationships/hyperlink" Target="https://planmyfire.in/calculators/rebalancing" TargetMode="External" Id="rId10" /><Relationship Type="http://schemas.openxmlformats.org/officeDocument/2006/relationships/hyperlink" Target="https://planmyfire.in/blog/fire-india-complete-guide" TargetMode="External" Id="rId11" /><Relationship Type="http://schemas.openxmlformats.org/officeDocument/2006/relationships/hyperlink" Target="https://planmyfire.in/planner" TargetMode="External" Id="rId12" /></Relationships>
</file>

<file path=xl/worksheets/_rels/sheet3.xml.rels><Relationships xmlns="http://schemas.openxmlformats.org/package/2006/relationships"><Relationship Type="http://schemas.openxmlformats.org/officeDocument/2006/relationships/hyperlink" Target="https://planmyfire.in/planner" TargetMode="External" Id="rId1" /><Relationship Type="http://schemas.openxmlformats.org/officeDocument/2006/relationships/hyperlink" Target="https://planmyfire.in/blog/fire-india-complete-guide" TargetMode="External" Id="rId2" /><Relationship Type="http://schemas.openxmlformats.org/officeDocument/2006/relationships/hyperlink" Target="https://planmyfire.in/planner" TargetMode="External" Id="rId3" /></Relationships>
</file>

<file path=xl/worksheets/_rels/sheet4.xml.rels><Relationships xmlns="http://schemas.openxmlformats.org/package/2006/relationships"><Relationship Type="http://schemas.openxmlformats.org/officeDocument/2006/relationships/hyperlink" Target="https://planmyfire.in/planner" TargetMode="External" Id="rId1" /><Relationship Type="http://schemas.openxmlformats.org/officeDocument/2006/relationships/hyperlink" Target="https://planmyfire.in/calculators/swp" TargetMode="External" Id="rId2" /><Relationship Type="http://schemas.openxmlformats.org/officeDocument/2006/relationships/drawing" Target="/xl/drawings/drawing1.xml" Id="rId3" /></Relationships>
</file>

<file path=xl/worksheets/sheet1.xml><?xml version="1.0" encoding="utf-8"?>
<worksheet xmlns="http://schemas.openxmlformats.org/spreadsheetml/2006/main">
  <sheetPr>
    <outlinePr summaryBelow="1" summaryRight="1"/>
    <pageSetUpPr/>
  </sheetPr>
  <dimension ref="B2:M28"/>
  <sheetViews>
    <sheetView showGridLines="0" workbookViewId="0">
      <pane ySplit="4" topLeftCell="A5" activePane="bottomLeft" state="frozen"/>
      <selection pane="bottomLeft" activeCell="A1" sqref="A1"/>
    </sheetView>
  </sheetViews>
  <sheetFormatPr baseColWidth="8" defaultRowHeight="15"/>
  <cols>
    <col width="2" customWidth="1" min="1" max="1"/>
    <col width="38" customWidth="1" min="2" max="2"/>
    <col width="18" customWidth="1" min="3" max="3"/>
    <col width="3" customWidth="1" min="4" max="4"/>
    <col width="34" customWidth="1" min="5" max="5"/>
    <col width="30" customWidth="1" min="6" max="6"/>
    <col width="3" customWidth="1" min="7" max="7"/>
    <col hidden="1" width="13" customWidth="1" min="12" max="12"/>
    <col hidden="1" width="13" customWidth="1" min="13" max="13"/>
  </cols>
  <sheetData>
    <row r="2" ht="34" customHeight="1">
      <c r="B2" s="1" t="inlineStr">
        <is>
          <t>planMyFIRE.in  —  Start here</t>
        </is>
      </c>
    </row>
    <row r="3" ht="26" customHeight="1">
      <c r="B3" s="2" t="inlineStr">
        <is>
          <t>1.  Pick your FIRE type below.    2.  Fill the blue cells on the Planner tab — age, expenses and assets live there.    3.  Read the Compare tab for all five numbers side by side.</t>
        </is>
      </c>
    </row>
    <row r="4" ht="18" customHeight="1">
      <c r="B4" s="3" t="inlineStr">
        <is>
          <t>A free India-specific FIRE planner from planmyfire.in/planner  —  the guide that explains every tab is there too  →</t>
        </is>
      </c>
    </row>
    <row r="5" ht="22" customHeight="1">
      <c r="B5" s="4" t="inlineStr">
        <is>
          <t>1  ·  WHICH KIND OF FIRE?</t>
        </is>
      </c>
      <c r="L5" s="5" t="inlineStr">
        <is>
          <t>RESOLVER — everything downstream reads these, never the inputs</t>
        </is>
      </c>
    </row>
    <row r="6">
      <c r="B6" s="6" t="inlineStr">
        <is>
          <t>Your FIRE type</t>
        </is>
      </c>
      <c r="C6" s="7" t="inlineStr">
        <is>
          <t>Full FIRE</t>
        </is>
      </c>
      <c r="L6" s="8" t="inlineStr">
        <is>
          <t>effective stop-investing age: C10 if Coast, else 200</t>
        </is>
      </c>
      <c r="M6" s="6">
        <f>IF(C6="Coast FIRE",C10,200)</f>
        <v/>
      </c>
    </row>
    <row r="7">
      <c r="B7" s="8">
        <f>IF(C6="Coast FIRE","Coast FIRE: invest hard now, stop early, and let compounding carry you to the number. You keep working, you just stop adding.",IF(C6="Barista FIRE","Barista FIRE: leave the full-time job, earn a smaller income for a while, and let it cover part of your spending.","Full FIRE: build the whole corpus and stop working altogether at your target age."))</f>
        <v/>
      </c>
      <c r="L7" s="8" t="inlineStr">
        <is>
          <t>effective barista income: C13 if Barista, else 0</t>
        </is>
      </c>
      <c r="M7" s="6">
        <f>IF(C6="Barista FIRE",C13,0)</f>
        <v/>
      </c>
    </row>
    <row r="8">
      <c r="L8" s="8" t="inlineStr">
        <is>
          <t>barista end age: C14 if Barista, else 0</t>
        </is>
      </c>
      <c r="M8" s="6">
        <f>IF(C6="Barista FIRE",C14,0)</f>
        <v/>
      </c>
    </row>
    <row r="9" ht="22" customHeight="1">
      <c r="B9" s="4" t="inlineStr">
        <is>
          <t>2  ·  COAST FIRE SETTINGS</t>
        </is>
      </c>
      <c r="L9" s="8" t="inlineStr">
        <is>
          <t>SIP in use: the required SIP, or your current one</t>
        </is>
      </c>
      <c r="M9" s="6">
        <f>IF(C21="Required SIP",Planner!M6,Planner!C8)</f>
        <v/>
      </c>
    </row>
    <row r="10">
      <c r="B10" s="6" t="inlineStr">
        <is>
          <t>Stop investing at age</t>
        </is>
      </c>
      <c r="C10" s="9" t="n">
        <v>40</v>
      </c>
      <c r="E10" s="8" t="inlineStr">
        <is>
          <t>After this age you add nothing more.</t>
        </is>
      </c>
    </row>
    <row r="11">
      <c r="E11" s="10" t="inlineStr">
        <is>
          <t>Is Coast FIRE right for you? →</t>
        </is>
      </c>
    </row>
    <row r="12" ht="22" customHeight="1">
      <c r="B12" s="4" t="inlineStr">
        <is>
          <t>3  ·  BARISTA FIRE SETTINGS</t>
        </is>
      </c>
    </row>
    <row r="13">
      <c r="B13" s="6" t="inlineStr">
        <is>
          <t>Yearly income after full-time work</t>
        </is>
      </c>
      <c r="C13" s="11" t="n">
        <v>600000</v>
      </c>
      <c r="E13" s="8" t="inlineStr">
        <is>
          <t>Part-time or consulting income.</t>
        </is>
      </c>
    </row>
    <row r="14">
      <c r="B14" s="6" t="inlineStr">
        <is>
          <t>That income continues until age</t>
        </is>
      </c>
      <c r="C14" s="9" t="n">
        <v>60</v>
      </c>
    </row>
    <row r="15">
      <c r="E15" s="10" t="inlineStr">
        <is>
          <t>What barista work actually pays →</t>
        </is>
      </c>
    </row>
    <row r="16" ht="22" customHeight="1">
      <c r="B16" s="4" t="inlineStr">
        <is>
          <t>4  ·  COMPARISON SETTINGS</t>
        </is>
      </c>
    </row>
    <row r="17">
      <c r="B17" s="6" t="inlineStr">
        <is>
          <t>Lean FIRE = this share of your expenses</t>
        </is>
      </c>
      <c r="C17" s="12" t="n">
        <v>0.7</v>
      </c>
      <c r="E17" s="8" t="inlineStr">
        <is>
          <t>Used on the Compare tab only.</t>
        </is>
      </c>
    </row>
    <row r="18">
      <c r="B18" s="6" t="inlineStr">
        <is>
          <t>Fat FIRE = this share of your expenses</t>
        </is>
      </c>
      <c r="C18" s="12" t="n">
        <v>1.5</v>
      </c>
    </row>
    <row r="20" ht="22" customHeight="1">
      <c r="B20" s="4" t="inlineStr">
        <is>
          <t>5  ·  PROJECTION SETTING</t>
        </is>
      </c>
    </row>
    <row r="21">
      <c r="B21" s="6" t="inlineStr">
        <is>
          <t>Project using</t>
        </is>
      </c>
      <c r="C21" s="7" t="inlineStr">
        <is>
          <t>Required SIP</t>
        </is>
      </c>
      <c r="E21" s="8" t="inlineStr">
        <is>
          <t>Required SIP shows the plan working.</t>
        </is>
      </c>
    </row>
    <row r="27">
      <c r="B27" s="8" t="inlineStr">
        <is>
          <t>An educational model, not financial advice. planMyFIRE is not a SEBI-registered adviser. Returns are assumptions, not forecasts.</t>
        </is>
      </c>
    </row>
    <row r="28">
      <c r="B28" s="10" t="inlineStr">
        <is>
          <t>PlanMyFIRE  ·  2026 edition  ·  planmyfire.in/planner  —  the guide, the calculators and the newest version of this sheet all live here</t>
        </is>
      </c>
    </row>
  </sheetData>
  <sheetProtection selectLockedCells="0" selectUnlockedCells="0" sheet="1" objects="0" insertRows="1" insertHyperlinks="1" autoFilter="1" scenarios="0" formatColumns="1" deleteColumns="1" insertColumns="1" pivotTables="1" deleteRows="1" formatCells="0" formatRows="1" sort="1"/>
  <mergeCells count="11">
    <mergeCell ref="B3:G3"/>
    <mergeCell ref="B2:G2"/>
    <mergeCell ref="B12:F12"/>
    <mergeCell ref="B7:F7"/>
    <mergeCell ref="B28:G28"/>
    <mergeCell ref="B16:F16"/>
    <mergeCell ref="B20:F20"/>
    <mergeCell ref="B27:G27"/>
    <mergeCell ref="B5:F5"/>
    <mergeCell ref="B4:G4"/>
    <mergeCell ref="B9:F9"/>
  </mergeCells>
  <conditionalFormatting sqref="B9:F10">
    <cfRule type="expression" priority="1" dxfId="0">
      <formula>$C$6&lt;&gt;"Coast FIRE"</formula>
    </cfRule>
  </conditionalFormatting>
  <conditionalFormatting sqref="B12:F14">
    <cfRule type="expression" priority="2" dxfId="0">
      <formula>$C$6&lt;&gt;"Barista FIRE"</formula>
    </cfRule>
  </conditionalFormatting>
  <dataValidations count="7">
    <dataValidation sqref="C6" showDropDown="0" showInputMessage="0" showErrorMessage="1" allowBlank="0" errorTitle="Pick a type" error="Choose Full, Coast or Barista FIRE." type="list">
      <formula1>"Full FIRE,Coast FIRE,Barista FIRE"</formula1>
    </dataValidation>
    <dataValidation sqref="C10" showDropDown="0" showInputMessage="0" showErrorMessage="1" allowBlank="0" errorTitle="Check the age" error="Enter an age between 18 and 100." type="whole" operator="between">
      <formula1>18</formula1>
      <formula2>100</formula2>
    </dataValidation>
    <dataValidation sqref="C13" showDropDown="0" showInputMessage="0" showErrorMessage="1" allowBlank="0" errorTitle="Check the amount" error="Enter zero or more." type="whole" operator="greaterThanOrEqual">
      <formula1>0</formula1>
    </dataValidation>
    <dataValidation sqref="C14" showDropDown="0" showInputMessage="0" showErrorMessage="1" allowBlank="0" errorTitle="Check the age" error="Enter an age between 18 and 100." type="whole" operator="between">
      <formula1>18</formula1>
      <formula2>100</formula2>
    </dataValidation>
    <dataValidation sqref="C17" showDropDown="0" showInputMessage="0" showErrorMessage="1" allowBlank="0" errorTitle="Check the share" error="Enter a share between 10% and 500%." type="decimal" operator="between">
      <formula1>0.1</formula1>
      <formula2>5</formula2>
    </dataValidation>
    <dataValidation sqref="C18" showDropDown="0" showInputMessage="0" showErrorMessage="1" allowBlank="0" errorTitle="Check the share" error="Enter a share between 10% and 500%." type="decimal" operator="between">
      <formula1>0.1</formula1>
      <formula2>5</formula2>
    </dataValidation>
    <dataValidation sqref="C21" showDropDown="0" showInputMessage="0" showErrorMessage="1" allowBlank="0" errorTitle="Pick one" error="Choose Current SIP or Required SIP." type="list">
      <formula1>"Current SIP,Required SIP"</formula1>
    </dataValidation>
  </dataValidations>
  <hyperlinks>
    <hyperlink xmlns:r="http://schemas.openxmlformats.org/officeDocument/2006/relationships" ref="B2" r:id="rId1"/>
    <hyperlink xmlns:r="http://schemas.openxmlformats.org/officeDocument/2006/relationships" ref="B4" r:id="rId2"/>
    <hyperlink xmlns:r="http://schemas.openxmlformats.org/officeDocument/2006/relationships" ref="E11" r:id="rId3"/>
    <hyperlink xmlns:r="http://schemas.openxmlformats.org/officeDocument/2006/relationships" ref="E15" r:id="rId4"/>
    <hyperlink xmlns:r="http://schemas.openxmlformats.org/officeDocument/2006/relationships" ref="B28" r:id="rId5"/>
  </hyperlinks>
  <pageMargins left="0.75" right="0.75" top="1" bottom="1" header="0.5" footer="0.5"/>
</worksheet>
</file>

<file path=xl/worksheets/sheet2.xml><?xml version="1.0" encoding="utf-8"?>
<worksheet xmlns="http://schemas.openxmlformats.org/spreadsheetml/2006/main">
  <sheetPr>
    <outlinePr summaryBelow="1" summaryRight="1"/>
    <pageSetUpPr/>
  </sheetPr>
  <dimension ref="B2:N91"/>
  <sheetViews>
    <sheetView showGridLines="0" workbookViewId="0">
      <selection activeCell="A1" sqref="A1"/>
    </sheetView>
  </sheetViews>
  <sheetFormatPr baseColWidth="8" defaultRowHeight="15"/>
  <cols>
    <col width="2" customWidth="1" min="1" max="1"/>
    <col width="30" customWidth="1" min="2" max="2"/>
    <col width="16" customWidth="1" min="3" max="3"/>
    <col width="17" customWidth="1" min="4" max="4"/>
    <col width="20" customWidth="1" min="5" max="5"/>
    <col width="40" customWidth="1" min="6" max="6"/>
    <col width="3" customWidth="1" min="7" max="7"/>
    <col width="30" customWidth="1" min="8" max="8"/>
    <col width="21" customWidth="1" min="9" max="9"/>
    <col width="30" customWidth="1" min="10" max="10"/>
    <col width="21" customWidth="1" min="11" max="11"/>
    <col hidden="1" width="13" customWidth="1" min="13" max="13"/>
    <col hidden="1" width="13" customWidth="1" min="14" max="14"/>
  </cols>
  <sheetData>
    <row r="2" ht="34" customHeight="1">
      <c r="B2" s="1" t="inlineStr">
        <is>
          <t>planMyFIRE.in  —  FIRE Planner for India</t>
        </is>
      </c>
    </row>
    <row r="3" ht="18" customHeight="1">
      <c r="B3" s="8" t="inlineStr">
        <is>
          <t>Fill the blue cells on the left, top to bottom. The panel on the right updates as you go.</t>
        </is>
      </c>
    </row>
    <row r="5" ht="22" customHeight="1">
      <c r="B5" s="4" t="inlineStr">
        <is>
          <t>1  ·  ABOUT YOU</t>
        </is>
      </c>
      <c r="H5" s="13" t="inlineStr">
        <is>
          <t>YOUR RESULTS</t>
        </is>
      </c>
      <c r="I5" s="14" t="n"/>
      <c r="J5" s="14" t="n"/>
      <c r="K5" s="15" t="n"/>
    </row>
    <row r="6" ht="24" customHeight="1">
      <c r="B6" s="6" t="inlineStr">
        <is>
          <t>Your age today</t>
        </is>
      </c>
      <c r="C6" s="9" t="n">
        <v>32</v>
      </c>
      <c r="H6" s="16" t="inlineStr">
        <is>
          <t>Annual expenses today</t>
        </is>
      </c>
      <c r="I6" s="17">
        <f>E48</f>
        <v/>
      </c>
      <c r="J6" s="18">
        <f>"Annual expenses needed  (at age "&amp;TEXT(C7,"0")&amp;")"</f>
        <v/>
      </c>
      <c r="K6" s="19">
        <f>M10+M11+IF(M26&gt;=C7,M12,0)+M46</f>
        <v/>
      </c>
      <c r="M6" s="20">
        <f>IFERROR(MAX(0,-PMT(((1+C19)^(1/12)-1),MAX(1,MAX(0,C7-C6)*12),-I7,K7)),0)</f>
        <v/>
      </c>
    </row>
    <row r="7" ht="24" customHeight="1">
      <c r="B7" s="6" t="inlineStr">
        <is>
          <t>Target FIRE age</t>
        </is>
      </c>
      <c r="C7" s="9" t="n">
        <v>45</v>
      </c>
      <c r="F7" s="8" t="inlineStr">
        <is>
          <t>Must be above your age today.</t>
        </is>
      </c>
      <c r="H7" s="16" t="inlineStr">
        <is>
          <t>Corpus available today</t>
        </is>
      </c>
      <c r="I7" s="17">
        <f>C67</f>
        <v/>
      </c>
      <c r="J7" s="18">
        <f>"Corpus needed  (at age "&amp;TEXT(C7,"0")&amp;")"</f>
        <v/>
      </c>
      <c r="K7" s="19">
        <f>(M10*(IF(ABS(C24-C20)&lt;0.0000001,MAX(1,120-C7+1),(1-((1+C24)/(1+C20))^MAX(1,120-C7+1))/(1-((1+C24)/(1+C20)))))+M11*(IF(ABS(C25-C20)&lt;0.0000001,MAX(0,MIN(E25,(120-C6))-MAX(0,C7-C6)+1),(1-((1+C25)/(1+C20))^MAX(0,MIN(E25,(120-C6))-MAX(0,C7-C6)+1))/(1-((1+C25)/(1+C20)))))+M13*(IF(ABS(C24-C20)&lt;0.0000001,MAX(0,(120-C6)-MAX(E25+1,MAX(0,C7-C6))+1),(1-((1+C24)/(1+C20))^MAX(0,(120-C6)-MAX(E25+1,MAX(0,C7-C6))+1))/(1-((1+C24)/(1+C20)))))+M12*(IF(ABS(C26-C20)&lt;0.0000001,MAX(0,MIN(M26,120)-C7+1),(1-((1+C26)/(1+C20))^MAX(0,MIN(M26,120)-C7+1))/(1-((1+C26)/(1+C20)))))+N46)/(1-C9)+E80</f>
        <v/>
      </c>
      <c r="M7" s="6">
        <f>IF(LEN(TEXT(INT(M6),"0"))&lt;=3,TEXT(INT(M6),"0"),IF(LEN(TEXT(INT(M6),"0"))&lt;=5,LEFT(TEXT(INT(M6),"0"),LEN(TEXT(INT(M6),"0"))-3)&amp;","&amp;RIGHT(TEXT(INT(M6),"0"),3),IF(LEN(TEXT(INT(M6),"0"))&lt;=7,LEFT(TEXT(INT(M6),"0"),LEN(TEXT(INT(M6),"0"))-5)&amp;","&amp;MID(TEXT(INT(M6),"0"),LEN(TEXT(INT(M6),"0"))-4,2)&amp;","&amp;RIGHT(TEXT(INT(M6),"0"),3),IF(LEN(TEXT(INT(M6),"0"))&lt;=9,LEFT(TEXT(INT(M6),"0"),LEN(TEXT(INT(M6),"0"))-7)&amp;","&amp;MID(TEXT(INT(M6),"0"),LEN(TEXT(INT(M6),"0"))-6,2)&amp;","&amp;MID(TEXT(INT(M6),"0"),LEN(TEXT(INT(M6),"0"))-4,2)&amp;","&amp;RIGHT(TEXT(INT(M6),"0"),3),LEFT(TEXT(INT(M6),"0"),LEN(TEXT(INT(M6),"0"))-9)&amp;","&amp;MID(TEXT(INT(M6),"0"),LEN(TEXT(INT(M6),"0"))-8,2)&amp;","&amp;MID(TEXT(INT(M6),"0"),LEN(TEXT(INT(M6),"0"))-6,2)&amp;","&amp;MID(TEXT(INT(M6),"0"),LEN(TEXT(INT(M6),"0"))-4,2)&amp;","&amp;RIGHT(TEXT(INT(M6),"0"),3)))))</f>
        <v/>
      </c>
    </row>
    <row r="8" ht="24" customHeight="1">
      <c r="B8" s="6" t="inlineStr">
        <is>
          <t>Current SIP</t>
        </is>
      </c>
      <c r="C8" s="11" t="n">
        <v>50000</v>
      </c>
      <c r="F8" s="8" t="inlineStr">
        <is>
          <t>Per month. Compare with the right.</t>
        </is>
      </c>
      <c r="H8" s="16" t="inlineStr">
        <is>
          <t>Corpus that never runs out</t>
        </is>
      </c>
      <c r="I8" s="17">
        <f>IF(C24&lt;C20,(M10*(1+C20)/(C20-C24)+M11*(IF(ABS(C25-C20)&lt;0.0000001,MAX(0,E25-MAX(0,C7-C6)+1),(1-((1+C25)/(1+C20))^MAX(0,E25-MAX(0,C7-C6)+1))/(1-((1+C25)/(1+C20)))))+M13*(1+C20)/(C20-C24)+M12*(IF(ABS(C26-C20)&lt;0.0000001,MAX(0,MIN(M26,120)-C7+1),(1-((1+C26)/(1+C20))^MAX(0,MIN(M26,120)-C7+1))/(1-((1+C26)/(1+C20)))))+N46)/(1-C9)+E80,"not possible at these rates")</f>
        <v/>
      </c>
      <c r="J8" s="18">
        <f>"If you just used the "&amp;TEXT(C10,"0.0%")&amp;" rule"</f>
        <v/>
      </c>
      <c r="K8" s="19">
        <f>K6/C10</f>
        <v/>
      </c>
      <c r="M8" s="6">
        <f>IF(LEN(TEXT(INT((K6/(1-C9)/12)),"0"))&lt;=3,TEXT(INT((K6/(1-C9)/12)),"0"),IF(LEN(TEXT(INT((K6/(1-C9)/12)),"0"))&lt;=5,LEFT(TEXT(INT((K6/(1-C9)/12)),"0"),LEN(TEXT(INT((K6/(1-C9)/12)),"0"))-3)&amp;","&amp;RIGHT(TEXT(INT((K6/(1-C9)/12)),"0"),3),IF(LEN(TEXT(INT((K6/(1-C9)/12)),"0"))&lt;=7,LEFT(TEXT(INT((K6/(1-C9)/12)),"0"),LEN(TEXT(INT((K6/(1-C9)/12)),"0"))-5)&amp;","&amp;MID(TEXT(INT((K6/(1-C9)/12)),"0"),LEN(TEXT(INT((K6/(1-C9)/12)),"0"))-4,2)&amp;","&amp;RIGHT(TEXT(INT((K6/(1-C9)/12)),"0"),3),IF(LEN(TEXT(INT((K6/(1-C9)/12)),"0"))&lt;=9,LEFT(TEXT(INT((K6/(1-C9)/12)),"0"),LEN(TEXT(INT((K6/(1-C9)/12)),"0"))-7)&amp;","&amp;MID(TEXT(INT((K6/(1-C9)/12)),"0"),LEN(TEXT(INT((K6/(1-C9)/12)),"0"))-6,2)&amp;","&amp;MID(TEXT(INT((K6/(1-C9)/12)),"0"),LEN(TEXT(INT((K6/(1-C9)/12)),"0"))-4,2)&amp;","&amp;RIGHT(TEXT(INT((K6/(1-C9)/12)),"0"),3),LEFT(TEXT(INT((K6/(1-C9)/12)),"0"),LEN(TEXT(INT((K6/(1-C9)/12)),"0"))-9)&amp;","&amp;MID(TEXT(INT((K6/(1-C9)/12)),"0"),LEN(TEXT(INT((K6/(1-C9)/12)),"0"))-8,2)&amp;","&amp;MID(TEXT(INT((K6/(1-C9)/12)),"0"),LEN(TEXT(INT((K6/(1-C9)/12)),"0"))-6,2)&amp;","&amp;MID(TEXT(INT((K6/(1-C9)/12)),"0"),LEN(TEXT(INT((K6/(1-C9)/12)),"0"))-4,2)&amp;","&amp;RIGHT(TEXT(INT((K6/(1-C9)/12)),"0"),3)))))</f>
        <v/>
      </c>
    </row>
    <row r="9" ht="24" customHeight="1">
      <c r="B9" s="6" t="inlineStr">
        <is>
          <t>Effective tax on withdrawals</t>
        </is>
      </c>
      <c r="C9" s="12" t="n">
        <v>0.08</v>
      </c>
      <c r="F9" s="8" t="inlineStr">
        <is>
          <t>LTCG 12.5% on the gain portion.</t>
        </is>
      </c>
      <c r="H9" s="16" t="inlineStr">
        <is>
          <t>You invest today</t>
        </is>
      </c>
      <c r="I9" s="17">
        <f>C8</f>
        <v/>
      </c>
      <c r="J9" s="18" t="inlineStr">
        <is>
          <t>The plan needs</t>
        </is>
      </c>
      <c r="K9" s="19">
        <f>M6</f>
        <v/>
      </c>
      <c r="M9" s="6">
        <f>IF(LEN(TEXT(INT('Start here'!$M$9),"0"))&lt;=3,TEXT(INT('Start here'!$M$9),"0"),IF(LEN(TEXT(INT('Start here'!$M$9),"0"))&lt;=5,LEFT(TEXT(INT('Start here'!$M$9),"0"),LEN(TEXT(INT('Start here'!$M$9),"0"))-3)&amp;","&amp;RIGHT(TEXT(INT('Start here'!$M$9),"0"),3),IF(LEN(TEXT(INT('Start here'!$M$9),"0"))&lt;=7,LEFT(TEXT(INT('Start here'!$M$9),"0"),LEN(TEXT(INT('Start here'!$M$9),"0"))-5)&amp;","&amp;MID(TEXT(INT('Start here'!$M$9),"0"),LEN(TEXT(INT('Start here'!$M$9),"0"))-4,2)&amp;","&amp;RIGHT(TEXT(INT('Start here'!$M$9),"0"),3),IF(LEN(TEXT(INT('Start here'!$M$9),"0"))&lt;=9,LEFT(TEXT(INT('Start here'!$M$9),"0"),LEN(TEXT(INT('Start here'!$M$9),"0"))-7)&amp;","&amp;MID(TEXT(INT('Start here'!$M$9),"0"),LEN(TEXT(INT('Start here'!$M$9),"0"))-6,2)&amp;","&amp;MID(TEXT(INT('Start here'!$M$9),"0"),LEN(TEXT(INT('Start here'!$M$9),"0"))-4,2)&amp;","&amp;RIGHT(TEXT(INT('Start here'!$M$9),"0"),3),LEFT(TEXT(INT('Start here'!$M$9),"0"),LEN(TEXT(INT('Start here'!$M$9),"0"))-9)&amp;","&amp;MID(TEXT(INT('Start here'!$M$9),"0"),LEN(TEXT(INT('Start here'!$M$9),"0"))-8,2)&amp;","&amp;MID(TEXT(INT('Start here'!$M$9),"0"),LEN(TEXT(INT('Start here'!$M$9),"0"))-6,2)&amp;","&amp;MID(TEXT(INT('Start here'!$M$9),"0"),LEN(TEXT(INT('Start here'!$M$9),"0"))-4,2)&amp;","&amp;RIGHT(TEXT(INT('Start here'!$M$9),"0"),3)))))</f>
        <v/>
      </c>
    </row>
    <row r="10" ht="22" customHeight="1">
      <c r="B10" s="6" t="inlineStr">
        <is>
          <t>Safe withdrawal rate</t>
        </is>
      </c>
      <c r="C10" s="12" t="n">
        <v>0.033</v>
      </c>
      <c r="F10" s="10" t="inlineStr">
        <is>
          <t>Rule of thumb only. Why 3.3%, not 4% →</t>
        </is>
      </c>
      <c r="H10" s="21">
        <f>IF(C7&lt;=C6,"Set a target FIRE age above your age today.",IF(M6&lt;=0,"Your corpus alone grows into the target by age "&amp;TEXT(C7,"0")&amp;" — no extra SIP needed.",IF(M6&lt;=C8,"You can reach FIRE at age "&amp;TEXT(C7,"0")&amp;" on what you already invest.","You can reach FIRE in "&amp;TEXT(MAX(0,C7-C6),"0")&amp;" years, at age "&amp;TEXT(C7,"0")&amp;", with a monthly SIP of ₹"&amp;M7&amp;" — ₹"&amp;M14&amp;" a month more than you invest today.")))</f>
        <v/>
      </c>
      <c r="I10" s="22" t="n"/>
      <c r="J10" s="22" t="n"/>
      <c r="K10" s="23" t="n"/>
      <c r="M10" s="20">
        <f>E49*(1+C24)^MAX(0,C7-C6)</f>
        <v/>
      </c>
    </row>
    <row r="11" ht="22" customHeight="1">
      <c r="H11" s="24" t="n"/>
      <c r="I11" s="25" t="n"/>
      <c r="J11" s="25" t="n"/>
      <c r="K11" s="26" t="n"/>
      <c r="M11" s="20">
        <f>E50*(1+C25)^MAX(0,C7-C6)</f>
        <v/>
      </c>
    </row>
    <row r="12" ht="22" customHeight="1">
      <c r="B12" s="4" t="inlineStr">
        <is>
          <t>2  ·  RETURN ASSUMPTIONS</t>
        </is>
      </c>
      <c r="H12" s="27" t="inlineStr">
        <is>
          <t>After tax, covers you to 120, includes sinking funds.</t>
        </is>
      </c>
      <c r="I12" s="28" t="n"/>
      <c r="J12" s="28" t="n"/>
      <c r="K12" s="29" t="n"/>
      <c r="M12" s="20">
        <f>E51*(1+C26)^MAX(0,C7-C6)</f>
        <v/>
      </c>
    </row>
    <row r="13" ht="26" customHeight="1">
      <c r="B13" s="5" t="inlineStr">
        <is>
          <t>Where the money sits</t>
        </is>
      </c>
      <c r="C13" s="30" t="inlineStr">
        <is>
          <t>Expected return</t>
        </is>
      </c>
      <c r="D13" s="31" t="inlineStr">
        <is>
          <t>Allocation before FIRE</t>
        </is>
      </c>
      <c r="E13" s="31" t="inlineStr">
        <is>
          <t>Allocation post FIRE</t>
        </is>
      </c>
      <c r="F13" s="8" t="inlineStr">
        <is>
          <t>Long-run averages, not last year.</t>
        </is>
      </c>
      <c r="M13" s="20">
        <f>E50*(1+C25)^E25*(1+C24)^(MAX(E25+1,MAX(0,C7-C6))-E25)/(1+C20)^(MAX(E25+1,MAX(0,C7-C6))-MAX(0,C7-C6))</f>
        <v/>
      </c>
    </row>
    <row r="14">
      <c r="B14" s="32" t="inlineStr">
        <is>
          <t>Equity</t>
        </is>
      </c>
      <c r="C14" s="12" t="n">
        <v>0.12</v>
      </c>
      <c r="D14" s="12" t="n">
        <v>0.7</v>
      </c>
      <c r="E14" s="12" t="n">
        <v>0.4</v>
      </c>
      <c r="M14" s="6">
        <f>IF(LEN(TEXT(INT(MAX(0,M6-C8)),"0"))&lt;=3,TEXT(INT(MAX(0,M6-C8)),"0"),IF(LEN(TEXT(INT(MAX(0,M6-C8)),"0"))&lt;=5,LEFT(TEXT(INT(MAX(0,M6-C8)),"0"),LEN(TEXT(INT(MAX(0,M6-C8)),"0"))-3)&amp;","&amp;RIGHT(TEXT(INT(MAX(0,M6-C8)),"0"),3),IF(LEN(TEXT(INT(MAX(0,M6-C8)),"0"))&lt;=7,LEFT(TEXT(INT(MAX(0,M6-C8)),"0"),LEN(TEXT(INT(MAX(0,M6-C8)),"0"))-5)&amp;","&amp;MID(TEXT(INT(MAX(0,M6-C8)),"0"),LEN(TEXT(INT(MAX(0,M6-C8)),"0"))-4,2)&amp;","&amp;RIGHT(TEXT(INT(MAX(0,M6-C8)),"0"),3),IF(LEN(TEXT(INT(MAX(0,M6-C8)),"0"))&lt;=9,LEFT(TEXT(INT(MAX(0,M6-C8)),"0"),LEN(TEXT(INT(MAX(0,M6-C8)),"0"))-7)&amp;","&amp;MID(TEXT(INT(MAX(0,M6-C8)),"0"),LEN(TEXT(INT(MAX(0,M6-C8)),"0"))-6,2)&amp;","&amp;MID(TEXT(INT(MAX(0,M6-C8)),"0"),LEN(TEXT(INT(MAX(0,M6-C8)),"0"))-4,2)&amp;","&amp;RIGHT(TEXT(INT(MAX(0,M6-C8)),"0"),3),LEFT(TEXT(INT(MAX(0,M6-C8)),"0"),LEN(TEXT(INT(MAX(0,M6-C8)),"0"))-9)&amp;","&amp;MID(TEXT(INT(MAX(0,M6-C8)),"0"),LEN(TEXT(INT(MAX(0,M6-C8)),"0"))-8,2)&amp;","&amp;MID(TEXT(INT(MAX(0,M6-C8)),"0"),LEN(TEXT(INT(MAX(0,M6-C8)),"0"))-6,2)&amp;","&amp;MID(TEXT(INT(MAX(0,M6-C8)),"0"),LEN(TEXT(INT(MAX(0,M6-C8)),"0"))-4,2)&amp;","&amp;RIGHT(TEXT(INT(MAX(0,M6-C8)),"0"),3)))))</f>
        <v/>
      </c>
    </row>
    <row r="15">
      <c r="B15" s="32" t="inlineStr">
        <is>
          <t>Debt</t>
        </is>
      </c>
      <c r="C15" s="12" t="n">
        <v>0.07000000000000001</v>
      </c>
      <c r="D15" s="12" t="n">
        <v>0.25</v>
      </c>
      <c r="E15" s="12" t="n">
        <v>0.55</v>
      </c>
    </row>
    <row r="16">
      <c r="B16" s="32" t="inlineStr">
        <is>
          <t>Gold</t>
        </is>
      </c>
      <c r="C16" s="12" t="n">
        <v>0.08</v>
      </c>
      <c r="D16" s="12" t="n">
        <v>0.05</v>
      </c>
      <c r="E16" s="12" t="n">
        <v>0.05</v>
      </c>
    </row>
    <row r="17">
      <c r="B17" s="33" t="inlineStr">
        <is>
          <t>Total allocation</t>
        </is>
      </c>
      <c r="D17" s="34">
        <f>SUM(D14:D16)</f>
        <v/>
      </c>
      <c r="E17" s="34">
        <f>SUM(E14:E16)</f>
        <v/>
      </c>
    </row>
    <row r="18">
      <c r="B18" s="6" t="inlineStr">
        <is>
          <t>Blended rebalance penalty</t>
        </is>
      </c>
      <c r="C18" s="12" t="n">
        <v>0.02</v>
      </c>
      <c r="F18" s="8" t="inlineStr">
        <is>
          <t>One-off cost, paid at FIRE.</t>
        </is>
      </c>
    </row>
    <row r="19">
      <c r="B19" s="6" t="inlineStr">
        <is>
          <t>Average return before FIRE</t>
        </is>
      </c>
      <c r="C19" s="34">
        <f>SUMPRODUCT(C14:C16,D14:D16)</f>
        <v/>
      </c>
      <c r="F19" s="8" t="inlineStr">
        <is>
          <t>Your mix, weighted. Not an input.</t>
        </is>
      </c>
    </row>
    <row r="20">
      <c r="B20" s="6" t="inlineStr">
        <is>
          <t>Average return after FIRE</t>
        </is>
      </c>
      <c r="C20" s="34">
        <f>SUMPRODUCT(C14:C16,E14:E16)</f>
        <v/>
      </c>
      <c r="F20" s="8" t="inlineStr">
        <is>
          <t>Your mix, weighted. Not an input.</t>
        </is>
      </c>
    </row>
    <row r="22" ht="22" customHeight="1">
      <c r="B22" s="4" t="inlineStr">
        <is>
          <t>3  ·  INFLATION ASSUMPTIONS</t>
        </is>
      </c>
    </row>
    <row r="23" ht="26" customHeight="1">
      <c r="B23" s="5" t="inlineStr">
        <is>
          <t>What you spend it on</t>
        </is>
      </c>
      <c r="C23" s="30" t="inlineStr">
        <is>
          <t>Yearly rise</t>
        </is>
      </c>
      <c r="D23" s="31" t="inlineStr">
        <is>
          <t>Share of spending</t>
        </is>
      </c>
      <c r="E23" s="30" t="inlineStr">
        <is>
          <t>Years to run</t>
        </is>
      </c>
      <c r="F23" s="8" t="inlineStr">
        <is>
          <t>Not everything rises together.</t>
        </is>
      </c>
    </row>
    <row r="24">
      <c r="B24" s="32" t="inlineStr">
        <is>
          <t>General / household</t>
        </is>
      </c>
      <c r="C24" s="12" t="n">
        <v>0.06</v>
      </c>
      <c r="D24" s="35">
        <f>E49/MAX(1,E48)</f>
        <v/>
      </c>
      <c r="E24" s="9" t="n"/>
      <c r="F24" s="8" t="inlineStr">
        <is>
          <t>In use. The realistic India number.</t>
        </is>
      </c>
    </row>
    <row r="25">
      <c r="B25" s="32" t="inlineStr">
        <is>
          <t>Healthcare &amp; insurance</t>
        </is>
      </c>
      <c r="C25" s="12" t="n">
        <v>0.1</v>
      </c>
      <c r="D25" s="35">
        <f>E50/MAX(1,E48)</f>
        <v/>
      </c>
      <c r="E25" s="9" t="n">
        <v>68</v>
      </c>
      <c r="F25" s="10" t="inlineStr">
        <is>
          <t>Rises fastest. The biggest FIRE risk →</t>
        </is>
      </c>
      <c r="M25" s="36">
        <f>C6+E25</f>
        <v/>
      </c>
    </row>
    <row r="26">
      <c r="B26" s="32" t="inlineStr">
        <is>
          <t>Education</t>
        </is>
      </c>
      <c r="C26" s="12" t="n">
        <v>0.1</v>
      </c>
      <c r="D26" s="35">
        <f>E51/MAX(1,E48)</f>
        <v/>
      </c>
      <c r="E26" s="9" t="n">
        <v>23</v>
      </c>
      <c r="F26" s="8" t="inlineStr">
        <is>
          <t>Spending stops after this.</t>
        </is>
      </c>
      <c r="M26" s="36">
        <f>C6+E26</f>
        <v/>
      </c>
    </row>
    <row r="27">
      <c r="B27" s="6" t="inlineStr">
        <is>
          <t>Blended Inflation</t>
        </is>
      </c>
      <c r="C27" s="34">
        <f>(E49*C24+E50*C25+E51*C26)/MAX(1,E48)</f>
        <v/>
      </c>
      <c r="F27" s="8" t="inlineStr">
        <is>
          <t>Your own mix. Shown, not used.</t>
        </is>
      </c>
    </row>
    <row r="29" ht="22" customHeight="1">
      <c r="B29" s="4" t="inlineStr">
        <is>
          <t>4  ·  EXPENSES      (the number everything else is built on)</t>
        </is>
      </c>
    </row>
    <row r="30">
      <c r="C30" s="30" t="inlineStr">
        <is>
          <t>Per month</t>
        </is>
      </c>
      <c r="D30" s="30" t="inlineStr">
        <is>
          <t>Plus once a year</t>
        </is>
      </c>
      <c r="E30" s="30" t="inlineStr">
        <is>
          <t>Total per year</t>
        </is>
      </c>
      <c r="F30" s="8" t="inlineStr">
        <is>
          <t>Month x 12, plus the yearly box.</t>
        </is>
      </c>
    </row>
    <row r="31">
      <c r="B31" s="37" t="inlineStr">
        <is>
          <t>Quick estimate</t>
        </is>
      </c>
      <c r="F31" s="8" t="inlineStr">
        <is>
          <t>Six lines. Two minutes.</t>
        </is>
      </c>
    </row>
    <row r="32">
      <c r="B32" s="32" t="inlineStr">
        <is>
          <t>Housing &amp; utilities</t>
        </is>
      </c>
      <c r="C32" s="11" t="n">
        <v>35000</v>
      </c>
      <c r="D32" s="11" t="n">
        <v>0</v>
      </c>
      <c r="E32" s="38">
        <f>C32*12+D32</f>
        <v/>
      </c>
      <c r="F32" s="8" t="inlineStr">
        <is>
          <t>Rent or EMI, maintenance, power.</t>
        </is>
      </c>
    </row>
    <row r="33">
      <c r="B33" s="32" t="inlineStr">
        <is>
          <t>Food &amp; groceries</t>
        </is>
      </c>
      <c r="C33" s="11" t="n">
        <v>18000</v>
      </c>
      <c r="D33" s="11" t="n">
        <v>0</v>
      </c>
      <c r="E33" s="38">
        <f>C33*12+D33</f>
        <v/>
      </c>
      <c r="F33" s="8" t="inlineStr">
        <is>
          <t>Eating out, domestic help too.</t>
        </is>
      </c>
    </row>
    <row r="34">
      <c r="B34" s="32" t="inlineStr">
        <is>
          <t>Transport</t>
        </is>
      </c>
      <c r="C34" s="11" t="n">
        <v>8000</v>
      </c>
      <c r="D34" s="11" t="n">
        <v>15000</v>
      </c>
      <c r="E34" s="38">
        <f>C34*12+D34</f>
        <v/>
      </c>
      <c r="F34" s="8" t="inlineStr">
        <is>
          <t>One-off: insurance, servicing.</t>
        </is>
      </c>
    </row>
    <row r="35">
      <c r="B35" s="32" t="inlineStr">
        <is>
          <t>Health &amp; insurance</t>
        </is>
      </c>
      <c r="C35" s="11" t="n">
        <v>3000</v>
      </c>
      <c r="D35" s="11" t="n">
        <v>60000</v>
      </c>
      <c r="E35" s="38">
        <f>C35*12+D35</f>
        <v/>
      </c>
      <c r="F35" s="8" t="inlineStr">
        <is>
          <t>Rises at healthcare rate.</t>
        </is>
      </c>
    </row>
    <row r="36">
      <c r="B36" s="32" t="inlineStr">
        <is>
          <t>Education</t>
        </is>
      </c>
      <c r="C36" s="11" t="n">
        <v>12000</v>
      </c>
      <c r="D36" s="11" t="n">
        <v>90000</v>
      </c>
      <c r="E36" s="38">
        <f>C36*12+D36</f>
        <v/>
      </c>
      <c r="F36" s="8" t="inlineStr">
        <is>
          <t>Rises at education rate.</t>
        </is>
      </c>
    </row>
    <row r="37">
      <c r="B37" s="32" t="inlineStr">
        <is>
          <t>Everything else</t>
        </is>
      </c>
      <c r="C37" s="11" t="n">
        <v>15000</v>
      </c>
      <c r="D37" s="11" t="n">
        <v>120000</v>
      </c>
      <c r="E37" s="38">
        <f>C37*12+D37</f>
        <v/>
      </c>
      <c r="F37" s="8" t="inlineStr">
        <is>
          <t>One-off: travel, festivals.</t>
        </is>
      </c>
    </row>
    <row r="39">
      <c r="B39" s="37" t="inlineStr">
        <is>
          <t>Loans &amp; EMIs</t>
        </is>
      </c>
      <c r="F39" s="8" t="inlineStr">
        <is>
          <t>Kept separate on purpose.</t>
        </is>
      </c>
    </row>
    <row r="40">
      <c r="C40" s="30" t="inlineStr">
        <is>
          <t>EMI per month</t>
        </is>
      </c>
      <c r="D40" s="30" t="inlineStr">
        <is>
          <t>Years to run</t>
        </is>
      </c>
      <c r="E40" s="30" t="inlineStr">
        <is>
          <t>Total per year</t>
        </is>
      </c>
    </row>
    <row r="41">
      <c r="B41" s="32" t="inlineStr">
        <is>
          <t>Home loan EMI</t>
        </is>
      </c>
      <c r="C41" s="11" t="n">
        <v>0</v>
      </c>
      <c r="D41" s="9" t="n">
        <v>15</v>
      </c>
      <c r="E41" s="38">
        <f>C41*12</f>
        <v/>
      </c>
      <c r="M41" s="20">
        <f>IF(D41&gt;MAX(0,C7-C6),C41*12,0)</f>
        <v/>
      </c>
      <c r="N41" s="20">
        <f>IF(D41&lt;=MAX(0,C7-C6),0,C41*12*(1-(1/(1+C20))^(D41-MAX(0,C7-C6)))/(1-(1/(1+C20))))</f>
        <v/>
      </c>
    </row>
    <row r="42">
      <c r="B42" s="32" t="inlineStr">
        <is>
          <t>Car / vehicle loan EMI</t>
        </is>
      </c>
      <c r="C42" s="11" t="n">
        <v>0</v>
      </c>
      <c r="D42" s="9" t="n">
        <v>5</v>
      </c>
      <c r="E42" s="38">
        <f>C42*12</f>
        <v/>
      </c>
      <c r="M42" s="20">
        <f>IF(D42&gt;MAX(0,C7-C6),C42*12,0)</f>
        <v/>
      </c>
      <c r="N42" s="20">
        <f>IF(D42&lt;=MAX(0,C7-C6),0,C42*12*(1-(1/(1+C20))^(D42-MAX(0,C7-C6)))/(1-(1/(1+C20))))</f>
        <v/>
      </c>
    </row>
    <row r="43">
      <c r="B43" s="32" t="inlineStr">
        <is>
          <t>Personal loan EMI</t>
        </is>
      </c>
      <c r="C43" s="11" t="n">
        <v>0</v>
      </c>
      <c r="D43" s="9" t="n">
        <v>3</v>
      </c>
      <c r="E43" s="38">
        <f>C43*12</f>
        <v/>
      </c>
      <c r="M43" s="20">
        <f>IF(D43&gt;MAX(0,C7-C6),C43*12,0)</f>
        <v/>
      </c>
      <c r="N43" s="20">
        <f>IF(D43&lt;=MAX(0,C7-C6),0,C43*12*(1-(1/(1+C20))^(D43-MAX(0,C7-C6)))/(1-(1/(1+C20))))</f>
        <v/>
      </c>
    </row>
    <row r="44">
      <c r="B44" s="32" t="inlineStr">
        <is>
          <t>Education loan EMI</t>
        </is>
      </c>
      <c r="C44" s="11" t="n">
        <v>0</v>
      </c>
      <c r="D44" s="9" t="n">
        <v>6</v>
      </c>
      <c r="E44" s="38">
        <f>C44*12</f>
        <v/>
      </c>
      <c r="M44" s="20">
        <f>IF(D44&gt;MAX(0,C7-C6),C44*12,0)</f>
        <v/>
      </c>
      <c r="N44" s="20">
        <f>IF(D44&lt;=MAX(0,C7-C6),0,C44*12*(1-(1/(1+C20))^(D44-MAX(0,C7-C6)))/(1-(1/(1+C20))))</f>
        <v/>
      </c>
    </row>
    <row r="45">
      <c r="B45" s="32" t="inlineStr">
        <is>
          <t>Credit card &amp; other repayments</t>
        </is>
      </c>
      <c r="C45" s="11" t="n">
        <v>0</v>
      </c>
      <c r="D45" s="9" t="n">
        <v>1</v>
      </c>
      <c r="E45" s="38">
        <f>C45*12</f>
        <v/>
      </c>
      <c r="M45" s="20">
        <f>IF(D45&gt;MAX(0,C7-C6),C45*12,0)</f>
        <v/>
      </c>
      <c r="N45" s="20">
        <f>IF(D45&lt;=MAX(0,C7-C6),0,C45*12*(1-(1/(1+C20))^(D45-MAX(0,C7-C6)))/(1-(1/(1+C20))))</f>
        <v/>
      </c>
    </row>
    <row r="46">
      <c r="B46" s="39" t="inlineStr">
        <is>
          <t>Loans subtotal</t>
        </is>
      </c>
      <c r="E46" s="40">
        <f>SUM(E41:E45)</f>
        <v/>
      </c>
      <c r="M46" s="20">
        <f>SUM(M41:M45)</f>
        <v/>
      </c>
      <c r="N46" s="20">
        <f>SUM(N41:N45)</f>
        <v/>
      </c>
    </row>
    <row r="48">
      <c r="B48" s="41" t="inlineStr">
        <is>
          <t>TOTAL ANNUAL EXPENSES</t>
        </is>
      </c>
      <c r="E48" s="42">
        <f>E49+E50+E51+E52</f>
        <v/>
      </c>
      <c r="F48" s="8" t="inlineStr">
        <is>
          <t>Split by how fast each rises.</t>
        </is>
      </c>
    </row>
    <row r="49">
      <c r="B49" s="43" t="inlineStr">
        <is>
          <t>rising at general inflation</t>
        </is>
      </c>
      <c r="E49" s="38">
        <f>SUM(E32,E33,E34,E37)</f>
        <v/>
      </c>
    </row>
    <row r="50">
      <c r="B50" s="43" t="inlineStr">
        <is>
          <t>rising at healthcare inflation</t>
        </is>
      </c>
      <c r="E50" s="38">
        <f>SUM(E35)</f>
        <v/>
      </c>
    </row>
    <row r="51">
      <c r="B51" s="43" t="inlineStr">
        <is>
          <t>rising at education inflation</t>
        </is>
      </c>
      <c r="E51" s="38">
        <f>SUM(E36)</f>
        <v/>
      </c>
    </row>
    <row r="52">
      <c r="B52" s="43" t="inlineStr">
        <is>
          <t>loans, level until they end</t>
        </is>
      </c>
      <c r="E52" s="38">
        <f>E46</f>
        <v/>
      </c>
    </row>
    <row r="54" ht="22" customHeight="1">
      <c r="B54" s="4" t="inlineStr">
        <is>
          <t>5  ·  WHAT YOU OWN TODAY      (investable assets only)</t>
        </is>
      </c>
    </row>
    <row r="55">
      <c r="C55" s="30" t="inlineStr">
        <is>
          <t>Balance today</t>
        </is>
      </c>
      <c r="F55" s="8" t="inlineStr">
        <is>
          <t>Counted in full, whatever the age.</t>
        </is>
      </c>
    </row>
    <row r="56">
      <c r="B56" s="32" t="inlineStr">
        <is>
          <t>Equity mutual funds &amp; stocks</t>
        </is>
      </c>
      <c r="C56" s="11" t="n">
        <v>1500000</v>
      </c>
      <c r="F56" s="8" t="inlineStr">
        <is>
          <t>Not the home you live in.</t>
        </is>
      </c>
    </row>
    <row r="57">
      <c r="B57" s="32" t="inlineStr">
        <is>
          <t>EPF balance</t>
        </is>
      </c>
      <c r="C57" s="11" t="n">
        <v>900000</v>
      </c>
    </row>
    <row r="58">
      <c r="B58" s="32" t="inlineStr">
        <is>
          <t>PPF balance</t>
        </is>
      </c>
      <c r="C58" s="11" t="n">
        <v>400000</v>
      </c>
    </row>
    <row r="59">
      <c r="B59" s="32" t="inlineStr">
        <is>
          <t>NPS balance</t>
        </is>
      </c>
      <c r="C59" s="11" t="n">
        <v>250000</v>
      </c>
    </row>
    <row r="60">
      <c r="B60" s="32" t="inlineStr">
        <is>
          <t>FDs, debt funds, bonds</t>
        </is>
      </c>
      <c r="C60" s="11" t="n">
        <v>300000</v>
      </c>
    </row>
    <row r="61">
      <c r="B61" s="32" t="inlineStr">
        <is>
          <t>Gold you would actually sell</t>
        </is>
      </c>
      <c r="C61" s="11" t="n">
        <v>200000</v>
      </c>
    </row>
    <row r="62">
      <c r="B62" s="32" t="inlineStr">
        <is>
          <t>Cash &amp; savings account</t>
        </is>
      </c>
      <c r="C62" s="11" t="n">
        <v>150000</v>
      </c>
    </row>
    <row r="63">
      <c r="B63" s="32" t="inlineStr">
        <is>
          <t>Anything else you would spend</t>
        </is>
      </c>
      <c r="C63" s="11" t="n">
        <v>0</v>
      </c>
    </row>
    <row r="64">
      <c r="B64" s="37" t="inlineStr">
        <is>
          <t>TOTAL INVESTABLE</t>
        </is>
      </c>
      <c r="C64" s="40">
        <f>SUM(C56:C63)</f>
        <v/>
      </c>
    </row>
    <row r="65">
      <c r="B65" s="39" t="inlineStr">
        <is>
          <t>Less: NPS you must annuitise</t>
        </is>
      </c>
      <c r="C65" s="38">
        <f>-C59*D65</f>
        <v/>
      </c>
      <c r="D65" s="12" t="n">
        <v>0.4</v>
      </c>
      <c r="F65" s="8" t="inlineStr">
        <is>
          <t>Rules say 40%. Not spendable.</t>
        </is>
      </c>
    </row>
    <row r="66">
      <c r="B66" s="39" t="inlineStr">
        <is>
          <t>Less: cost of rebalancing at FIRE</t>
        </is>
      </c>
      <c r="C66" s="38">
        <f>-(C64+C65)*C18</f>
        <v/>
      </c>
      <c r="F66" s="8" t="inlineStr">
        <is>
          <t>Tax on the slice you have to sell.</t>
        </is>
      </c>
    </row>
    <row r="67">
      <c r="B67" s="37" t="inlineStr">
        <is>
          <t>USABLE CORPUS TODAY</t>
        </is>
      </c>
      <c r="C67" s="42">
        <f>C64+C65+C66</f>
        <v/>
      </c>
      <c r="F67" s="8" t="inlineStr">
        <is>
          <t>Everything below uses this.</t>
        </is>
      </c>
    </row>
    <row r="69" ht="22" customHeight="1">
      <c r="B69" s="4" t="inlineStr">
        <is>
          <t>6  ·  SINKING FUNDS      (optional, big one-off goals)</t>
        </is>
      </c>
    </row>
    <row r="70">
      <c r="C70" s="30" t="inlineStr">
        <is>
          <t>Cost today</t>
        </is>
      </c>
      <c r="D70" s="30" t="inlineStr">
        <is>
          <t>Years until needed</t>
        </is>
      </c>
      <c r="E70" s="30" t="inlineStr">
        <is>
          <t>Corpus needed at FIRE</t>
        </is>
      </c>
      <c r="F70" s="8" t="inlineStr">
        <is>
          <t>When it lands changes the cost.</t>
        </is>
      </c>
    </row>
    <row r="71">
      <c r="B71" s="32" t="inlineStr">
        <is>
          <t>Child 1 — education</t>
        </is>
      </c>
      <c r="C71" s="11" t="n">
        <v>0</v>
      </c>
      <c r="D71" s="9" t="n">
        <v>18</v>
      </c>
      <c r="E71" s="38">
        <f>IF(C71=0,0,C71*(1+N71)^D71/(1+IF((C6+D71)&gt;=C7,C20,C19))^((C6+D71)-C7))</f>
        <v/>
      </c>
      <c r="F71" s="8" t="inlineStr">
        <is>
          <t>Education and medical rise faster.</t>
        </is>
      </c>
      <c r="N71" s="44">
        <f>C26</f>
        <v/>
      </c>
    </row>
    <row r="72">
      <c r="B72" s="32" t="inlineStr">
        <is>
          <t>Child 1 — marriage</t>
        </is>
      </c>
      <c r="C72" s="11" t="n">
        <v>0</v>
      </c>
      <c r="D72" s="9" t="n">
        <v>26</v>
      </c>
      <c r="E72" s="38">
        <f>IF(C72=0,0,C72*(1+N72)^D72/(1+IF((C6+D72)&gt;=C7,C20,C19))^((C6+D72)-C7))</f>
        <v/>
      </c>
      <c r="N72" s="44">
        <f>C24</f>
        <v/>
      </c>
    </row>
    <row r="73">
      <c r="B73" s="32" t="inlineStr">
        <is>
          <t>Child 2 — education</t>
        </is>
      </c>
      <c r="C73" s="11" t="n">
        <v>0</v>
      </c>
      <c r="D73" s="9" t="n">
        <v>22</v>
      </c>
      <c r="E73" s="38">
        <f>IF(C73=0,0,C73*(1+N73)^D73/(1+IF((C6+D73)&gt;=C7,C20,C19))^((C6+D73)-C7))</f>
        <v/>
      </c>
      <c r="N73" s="44">
        <f>C26</f>
        <v/>
      </c>
    </row>
    <row r="74">
      <c r="B74" s="32" t="inlineStr">
        <is>
          <t>Child 2 — marriage</t>
        </is>
      </c>
      <c r="C74" s="11" t="n">
        <v>0</v>
      </c>
      <c r="D74" s="9" t="n">
        <v>30</v>
      </c>
      <c r="E74" s="38">
        <f>IF(C74=0,0,C74*(1+N74)^D74/(1+IF((C6+D74)&gt;=C7,C20,C19))^((C6+D74)-C7))</f>
        <v/>
      </c>
      <c r="N74" s="44">
        <f>C24</f>
        <v/>
      </c>
    </row>
    <row r="75">
      <c r="B75" s="32" t="inlineStr">
        <is>
          <t>Home purchase or renovation</t>
        </is>
      </c>
      <c r="C75" s="11" t="n">
        <v>0</v>
      </c>
      <c r="D75" s="9" t="n">
        <v>13</v>
      </c>
      <c r="E75" s="38">
        <f>IF(C75=0,0,C75*(1+N75)^D75/(1+IF((C6+D75)&gt;=C7,C20,C19))^((C6+D75)-C7))</f>
        <v/>
      </c>
      <c r="N75" s="44">
        <f>C24</f>
        <v/>
      </c>
    </row>
    <row r="76">
      <c r="B76" s="32" t="inlineStr">
        <is>
          <t>Replacing the car</t>
        </is>
      </c>
      <c r="C76" s="11" t="n">
        <v>0</v>
      </c>
      <c r="D76" s="9" t="n">
        <v>10</v>
      </c>
      <c r="E76" s="38">
        <f>IF(C76=0,0,C76*(1+N76)^D76/(1+IF((C6+D76)&gt;=C7,C20,C19))^((C6+D76)-C7))</f>
        <v/>
      </c>
      <c r="N76" s="44">
        <f>C24</f>
        <v/>
      </c>
    </row>
    <row r="77">
      <c r="B77" s="32" t="inlineStr">
        <is>
          <t>Parents' medical buffer</t>
        </is>
      </c>
      <c r="C77" s="11" t="n">
        <v>0</v>
      </c>
      <c r="D77" s="9" t="n">
        <v>23</v>
      </c>
      <c r="E77" s="38">
        <f>IF(C77=0,0,C77*(1+N77)^D77/(1+IF((C6+D77)&gt;=C7,C20,C19))^((C6+D77)-C7))</f>
        <v/>
      </c>
      <c r="N77" s="44">
        <f>C25</f>
        <v/>
      </c>
    </row>
    <row r="78">
      <c r="B78" s="32" t="inlineStr">
        <is>
          <t>Your own medical buffer</t>
        </is>
      </c>
      <c r="C78" s="11" t="n">
        <v>0</v>
      </c>
      <c r="D78" s="9" t="n">
        <v>38</v>
      </c>
      <c r="E78" s="38">
        <f>IF(C78=0,0,C78*(1+N78)^D78/(1+IF((C6+D78)&gt;=C7,C20,C19))^((C6+D78)-C7))</f>
        <v/>
      </c>
      <c r="N78" s="44">
        <f>C25</f>
        <v/>
      </c>
    </row>
    <row r="79">
      <c r="B79" s="32" t="inlineStr">
        <is>
          <t>Anything else</t>
        </is>
      </c>
      <c r="C79" s="11" t="n">
        <v>0</v>
      </c>
      <c r="D79" s="9" t="n">
        <v>18</v>
      </c>
      <c r="E79" s="38">
        <f>IF(C79=0,0,C79*(1+N79)^D79/(1+IF((C6+D79)&gt;=C7,C20,C19))^((C6+D79)-C7))</f>
        <v/>
      </c>
      <c r="N79" s="44">
        <f>C24</f>
        <v/>
      </c>
    </row>
    <row r="80">
      <c r="B80" s="37" t="inlineStr">
        <is>
          <t>TOTAL EARMARKED</t>
        </is>
      </c>
      <c r="C80" s="40">
        <f>SUM(C71:C79)</f>
        <v/>
      </c>
      <c r="E80" s="40">
        <f>SUM(E71:E79)</f>
        <v/>
      </c>
      <c r="F80" s="8" t="inlineStr">
        <is>
          <t>This is added to Corpus needed.</t>
        </is>
      </c>
    </row>
    <row r="82" ht="22" customHeight="1">
      <c r="B82" s="4" t="inlineStr">
        <is>
          <t>WHERE THESE NUMBERS COME FROM</t>
        </is>
      </c>
    </row>
    <row r="83">
      <c r="B83" s="10" t="inlineStr">
        <is>
          <t>Why 3.3% and not 4% in India →</t>
        </is>
      </c>
      <c r="E83" s="10" t="inlineStr">
        <is>
          <t>Cross-check this on the FIRE calculator →</t>
        </is>
      </c>
    </row>
    <row r="84">
      <c r="B84" s="10" t="inlineStr">
        <is>
          <t>What high inflation does to a withdrawal plan →</t>
        </is>
      </c>
      <c r="E84" s="10" t="inlineStr">
        <is>
          <t>Health cover before 60, and what it costs →</t>
        </is>
      </c>
    </row>
    <row r="85">
      <c r="B85" s="10" t="inlineStr">
        <is>
          <t>EPF, PPF or NPS - what to fund first →</t>
        </is>
      </c>
      <c r="E85" s="10" t="inlineStr">
        <is>
          <t>Which pot to draw from once you stop →</t>
        </is>
      </c>
    </row>
    <row r="86">
      <c r="B86" s="10" t="inlineStr">
        <is>
          <t>Work out your own rebalancing cost →</t>
        </is>
      </c>
      <c r="E86" s="10" t="inlineStr">
        <is>
          <t>The whole thing, written out →</t>
        </is>
      </c>
    </row>
    <row r="88">
      <c r="B88" s="8" t="inlineStr">
        <is>
          <t>Returns are assumed steady every year. Real markets are not — a bad first decade after you retire does far more damage than the same returns later on. Treat the result as a target, not a promise.</t>
        </is>
      </c>
    </row>
    <row r="89">
      <c r="B89" s="8" t="inlineStr">
        <is>
          <t>Nothing you type here is sent anywhere. The file is yours, it works offline, and it asks you for nothing in return.</t>
        </is>
      </c>
    </row>
    <row r="90">
      <c r="B90" s="8" t="inlineStr">
        <is>
          <t>An educational model, not financial advice. planMyFIRE is not a SEBI-registered adviser. Returns are assumptions, not forecasts.</t>
        </is>
      </c>
    </row>
    <row r="91">
      <c r="B91" s="10" t="inlineStr">
        <is>
          <t>PlanMyFIRE  ·  2026 edition  ·  planmyfire.in/planner  —  the guide, the calculators and the newest version of this sheet all live here</t>
        </is>
      </c>
    </row>
  </sheetData>
  <sheetProtection selectLockedCells="0" selectUnlockedCells="0" sheet="1" objects="0" insertRows="1" insertHyperlinks="1" autoFilter="1" scenarios="0" formatColumns="1" deleteColumns="1" insertColumns="1" pivotTables="1" deleteRows="1" formatCells="0" formatRows="1" sort="1"/>
  <mergeCells count="23">
    <mergeCell ref="H10:K11"/>
    <mergeCell ref="B54:F54"/>
    <mergeCell ref="E83:F83"/>
    <mergeCell ref="B22:F22"/>
    <mergeCell ref="B89:K89"/>
    <mergeCell ref="H5:K5"/>
    <mergeCell ref="B12:F12"/>
    <mergeCell ref="B84:D84"/>
    <mergeCell ref="B91:K91"/>
    <mergeCell ref="B83:D83"/>
    <mergeCell ref="E84:F84"/>
    <mergeCell ref="B90:K90"/>
    <mergeCell ref="B3:K3"/>
    <mergeCell ref="B82:F82"/>
    <mergeCell ref="B29:F29"/>
    <mergeCell ref="B69:F69"/>
    <mergeCell ref="B85:D85"/>
    <mergeCell ref="E86:F86"/>
    <mergeCell ref="B2:K2"/>
    <mergeCell ref="E85:F85"/>
    <mergeCell ref="B88:K88"/>
    <mergeCell ref="B5:F5"/>
    <mergeCell ref="B86:D86"/>
  </mergeCells>
  <dataValidations count="5">
    <dataValidation sqref="C6" showDropDown="0" showInputMessage="0" showErrorMessage="1" allowBlank="0" errorTitle="Check your age" error="Enter an age between 18 and 70." type="whole" operator="between">
      <formula1>18</formula1>
      <formula2>70</formula2>
    </dataValidation>
    <dataValidation sqref="C7" showDropDown="0" showInputMessage="0" showErrorMessage="1" allowBlank="0" errorTitle="Check the target age" error="Your target FIRE age must be above your age today, and 75 or below." type="whole" operator="between">
      <formula1>$C$6+1</formula1>
      <formula2>75</formula2>
    </dataValidation>
    <dataValidation sqref="E24 E25 E26" showDropDown="0" showInputMessage="0" showErrorMessage="1" allowBlank="1" errorTitle="Check the span" error="How many more years this spending runs, or leave it blank if it never stops." type="whole" operator="between">
      <formula1>0</formula1>
      <formula2>80</formula2>
    </dataValidation>
    <dataValidation sqref="D41 D42 D43 D44 D45" showDropDown="0" showInputMessage="0" showErrorMessage="1" allowBlank="0" errorTitle="Check the term" error="How many years are left on this loan, 0 to 40." type="whole" operator="between">
      <formula1>0</formula1>
      <formula2>40</formula2>
    </dataValidation>
    <dataValidation sqref="D71 D72 D73 D74 D75 D76 D77 D78 D79" showDropDown="0" showInputMessage="0" showErrorMessage="1" allowBlank="0" errorTitle="Check the span" error="How many years from today until you need this money." type="whole" operator="between">
      <formula1>0</formula1>
      <formula2>80</formula2>
    </dataValidation>
  </dataValidations>
  <hyperlinks>
    <hyperlink xmlns:r="http://schemas.openxmlformats.org/officeDocument/2006/relationships" ref="B2" r:id="rId1"/>
    <hyperlink xmlns:r="http://schemas.openxmlformats.org/officeDocument/2006/relationships" ref="F10" r:id="rId2"/>
    <hyperlink xmlns:r="http://schemas.openxmlformats.org/officeDocument/2006/relationships" ref="F25" r:id="rId3"/>
    <hyperlink xmlns:r="http://schemas.openxmlformats.org/officeDocument/2006/relationships" ref="B83" r:id="rId4"/>
    <hyperlink xmlns:r="http://schemas.openxmlformats.org/officeDocument/2006/relationships" ref="E83" r:id="rId5"/>
    <hyperlink xmlns:r="http://schemas.openxmlformats.org/officeDocument/2006/relationships" ref="B84" r:id="rId6"/>
    <hyperlink xmlns:r="http://schemas.openxmlformats.org/officeDocument/2006/relationships" ref="E84" r:id="rId7"/>
    <hyperlink xmlns:r="http://schemas.openxmlformats.org/officeDocument/2006/relationships" ref="B85" r:id="rId8"/>
    <hyperlink xmlns:r="http://schemas.openxmlformats.org/officeDocument/2006/relationships" ref="E85" r:id="rId9"/>
    <hyperlink xmlns:r="http://schemas.openxmlformats.org/officeDocument/2006/relationships" ref="B86" r:id="rId10"/>
    <hyperlink xmlns:r="http://schemas.openxmlformats.org/officeDocument/2006/relationships" ref="E86" r:id="rId11"/>
    <hyperlink xmlns:r="http://schemas.openxmlformats.org/officeDocument/2006/relationships" ref="B91" r:id="rId12"/>
  </hyperlinks>
  <pageMargins left="0.75" right="0.75" top="1" bottom="1" header="0.5" footer="0.5"/>
</worksheet>
</file>

<file path=xl/worksheets/sheet3.xml><?xml version="1.0" encoding="utf-8"?>
<worksheet xmlns="http://schemas.openxmlformats.org/spreadsheetml/2006/main">
  <sheetPr>
    <outlinePr summaryBelow="1" summaryRight="1"/>
    <pageSetUpPr/>
  </sheetPr>
  <dimension ref="B2:J18"/>
  <sheetViews>
    <sheetView showGridLines="0" workbookViewId="0">
      <pane ySplit="5" topLeftCell="A6" activePane="bottomLeft" state="frozen"/>
      <selection pane="bottomLeft" activeCell="A1" sqref="A1"/>
    </sheetView>
  </sheetViews>
  <sheetFormatPr baseColWidth="8" defaultRowHeight="15"/>
  <cols>
    <col width="2" customWidth="1" min="1" max="1"/>
    <col width="16" customWidth="1" min="2" max="2"/>
    <col width="22" customWidth="1" min="3" max="3"/>
    <col width="24" customWidth="1" min="4" max="4"/>
    <col width="24" customWidth="1" min="5" max="5"/>
    <col width="20" customWidth="1" min="6" max="6"/>
    <col width="52" customWidth="1" min="7" max="7"/>
    <col hidden="1" width="13" customWidth="1" min="9" max="9"/>
    <col hidden="1" width="13" customWidth="1" min="10" max="10"/>
  </cols>
  <sheetData>
    <row r="2" ht="34" customHeight="1">
      <c r="B2" s="1" t="inlineStr">
        <is>
          <t>planMyFIRE.in  —  Compare</t>
        </is>
      </c>
    </row>
    <row r="3" ht="26" customHeight="1">
      <c r="B3" s="2" t="inlineStr">
        <is>
          <t>Five ways to answer the same question, from the one set of inputs on the Planner tab. Whichever type you picked on Start here is highlighted.</t>
        </is>
      </c>
    </row>
    <row r="5" ht="30" customHeight="1">
      <c r="B5" s="45" t="inlineStr">
        <is>
          <t>FIRE type</t>
        </is>
      </c>
      <c r="C5" s="46" t="inlineStr">
        <is>
          <t>Annual expenses assumed (today)</t>
        </is>
      </c>
      <c r="D5" s="46" t="inlineStr">
        <is>
          <t>Corpus needed at target age</t>
        </is>
      </c>
      <c r="E5" s="46" t="inlineStr">
        <is>
          <t>Same, in today's money</t>
        </is>
      </c>
      <c r="F5" s="46" t="inlineStr">
        <is>
          <t>Monthly SIP required</t>
        </is>
      </c>
      <c r="G5" s="46" t="inlineStr">
        <is>
          <t>What it means</t>
        </is>
      </c>
      <c r="I5" s="5" t="inlineStr">
        <is>
          <t>annuity factors, computed once, used by every row</t>
        </is>
      </c>
    </row>
    <row r="6" ht="26" customHeight="1">
      <c r="B6" s="47" t="inlineStr">
        <is>
          <t>Lean FIRE</t>
        </is>
      </c>
      <c r="C6" s="48">
        <f>Planner!E48*'Start here'!$C$17</f>
        <v/>
      </c>
      <c r="D6" s="48">
        <f>(Planner!E49*'Start here'!$C$17*(1+Planner!C24)^$J$6*$J$10+Planner!E50*'Start here'!$C$17*(1+Planner!C25)^$J$6*$J$11+Planner!M13*'Start here'!$C$17*$J$17+Planner!E51*'Start here'!$C$17*(1+Planner!C26)^$J$6*$J$12+Planner!N46)/(1-Planner!C9)+Planner!E80</f>
        <v/>
      </c>
      <c r="E6" s="48">
        <f>D6/(1+Planner!C24)^$J$6</f>
        <v/>
      </c>
      <c r="F6" s="48">
        <f>IFERROR(MAX(0,-PMT(((1+Planner!C19)^(1/12)-1),MAX(1,$J$6*12),-Planner!C67,D6)),0)</f>
        <v/>
      </c>
      <c r="G6" s="49" t="inlineStr">
        <is>
          <t>A leaner life than today. Fewer holidays, smaller house, same freedom.</t>
        </is>
      </c>
      <c r="I6" s="8" t="inlineStr">
        <is>
          <t>Y = years to the target FIRE age</t>
        </is>
      </c>
      <c r="J6" s="6">
        <f>MAX(0,Planner!C7-Planner!C6)</f>
        <v/>
      </c>
    </row>
    <row r="7" ht="26" customHeight="1">
      <c r="B7" s="47" t="inlineStr">
        <is>
          <t>Full FIRE</t>
        </is>
      </c>
      <c r="C7" s="48">
        <f>Planner!E48*1</f>
        <v/>
      </c>
      <c r="D7" s="48">
        <f>(Planner!E49*1*(1+Planner!C24)^$J$6*$J$10+Planner!E50*1*(1+Planner!C25)^$J$6*$J$11+Planner!M13*1*$J$17+Planner!E51*1*(1+Planner!C26)^$J$6*$J$12+Planner!N46)/(1-Planner!C9)+Planner!E80</f>
        <v/>
      </c>
      <c r="E7" s="48">
        <f>D7/(1+Planner!C24)^$J$6</f>
        <v/>
      </c>
      <c r="F7" s="48">
        <f>IFERROR(MAX(0,-PMT(((1+Planner!C19)^(1/12)-1),MAX(1,$J$6*12),-Planner!C67,D7)),0)</f>
        <v/>
      </c>
      <c r="G7" s="49" t="inlineStr">
        <is>
          <t>Your life as it is now, funded to age 120 with nobody paying you.</t>
        </is>
      </c>
      <c r="I7" s="8" t="inlineStr">
        <is>
          <t>nLife = draws from the target age to 120</t>
        </is>
      </c>
      <c r="J7" s="6">
        <f>MAX(1,120-Planner!C7+1)</f>
        <v/>
      </c>
    </row>
    <row r="8" ht="26" customHeight="1">
      <c r="B8" s="47" t="inlineStr">
        <is>
          <t>Fat FIRE</t>
        </is>
      </c>
      <c r="C8" s="48">
        <f>Planner!E48*'Start here'!$C$18</f>
        <v/>
      </c>
      <c r="D8" s="48">
        <f>(Planner!E49*'Start here'!$C$18*(1+Planner!C24)^$J$6*$J$10+Planner!E50*'Start here'!$C$18*(1+Planner!C25)^$J$6*$J$11+Planner!M13*'Start here'!$C$18*$J$17+Planner!E51*'Start here'!$C$18*(1+Planner!C26)^$J$6*$J$12+Planner!N46)/(1-Planner!C9)+Planner!E80</f>
        <v/>
      </c>
      <c r="E8" s="48">
        <f>D8/(1+Planner!C24)^$J$6</f>
        <v/>
      </c>
      <c r="F8" s="48">
        <f>IFERROR(MAX(0,-PMT(((1+Planner!C19)^(1/12)-1),MAX(1,$J$6*12),-Planner!C67,D8)),0)</f>
        <v/>
      </c>
      <c r="G8" s="49" t="inlineStr">
        <is>
          <t>Room to spend more than today, and never think about money again.</t>
        </is>
      </c>
      <c r="I8" s="8" t="inlineStr">
        <is>
          <t>nEdu = draws until education stops</t>
        </is>
      </c>
      <c r="J8" s="6">
        <f>MAX(0,MIN(Planner!M26,120)-Planner!C7+1)</f>
        <v/>
      </c>
    </row>
    <row r="9" ht="26" customHeight="1">
      <c r="B9" s="47" t="inlineStr">
        <is>
          <t>Coast FIRE</t>
        </is>
      </c>
      <c r="C9" s="48">
        <f>Planner!E48*1</f>
        <v/>
      </c>
      <c r="D9" s="48">
        <f>$J$14</f>
        <v/>
      </c>
      <c r="E9" s="48">
        <f>$J$14/(1+Planner!C19)^$J$6</f>
        <v/>
      </c>
      <c r="F9" s="48">
        <f>0</f>
        <v/>
      </c>
      <c r="G9" s="49" t="inlineStr">
        <is>
          <t>Stop adding today. What you already hold grows into Full FIRE on its own. You still work, you just stop saving.</t>
        </is>
      </c>
      <c r="I9" s="8" t="inlineStr">
        <is>
          <t>nBarista = draws until barista income stops</t>
        </is>
      </c>
      <c r="J9" s="6">
        <f>MAX(0,MIN('Start here'!$C$14,120)-Planner!C7+1)</f>
        <v/>
      </c>
    </row>
    <row r="10" ht="26" customHeight="1">
      <c r="B10" s="47" t="inlineStr">
        <is>
          <t>Barista FIRE</t>
        </is>
      </c>
      <c r="C10" s="48">
        <f>Planner!E48*1</f>
        <v/>
      </c>
      <c r="D10" s="48">
        <f>MAX(0,$J$14-'Start here'!$C$13*(1+Planner!C24)^$J$6*$J$13)</f>
        <v/>
      </c>
      <c r="E10" s="48">
        <f>D10/(1+Planner!C24)^$J$6</f>
        <v/>
      </c>
      <c r="F10" s="48">
        <f>IFERROR(MAX(0,-PMT(((1+Planner!C19)^(1/12)-1),MAX(1,$J$6*12),-Planner!C67,D10)),0)</f>
        <v/>
      </c>
      <c r="G10" s="49" t="inlineStr">
        <is>
          <t>Quit the full-time job. A smaller income covers part of the bill, so the corpus does less work.</t>
        </is>
      </c>
      <c r="I10" s="8" t="inlineStr">
        <is>
          <t>factorGen</t>
        </is>
      </c>
      <c r="J10" s="6">
        <f>IF(ABS(Planner!C24-Planner!C20)&lt;0.0000001,$J$7,(1-((1+Planner!C24)/(1+Planner!C20))^$J$7)/(1-((1+Planner!C24)/(1+Planner!C20))))</f>
        <v/>
      </c>
    </row>
    <row r="11">
      <c r="I11" s="8" t="inlineStr">
        <is>
          <t>factorHealth</t>
        </is>
      </c>
      <c r="J11" s="6">
        <f>IF(ABS(Planner!C25-Planner!C20)&lt;0.0000001,$J$15,(1-((1+Planner!C25)/(1+Planner!C20))^$J$15)/(1-((1+Planner!C25)/(1+Planner!C20))))</f>
        <v/>
      </c>
    </row>
    <row r="12">
      <c r="B12" s="8" t="inlineStr">
        <is>
          <t>Coast FIRE has no SIP — stopping is the point. Read its today's-money figure: the corpus you need now to coast to Full FIRE by your target age.</t>
        </is>
      </c>
      <c r="I12" s="8" t="inlineStr">
        <is>
          <t>factorEdu</t>
        </is>
      </c>
      <c r="J12" s="6">
        <f>IF(ABS(Planner!C26-Planner!C20)&lt;0.0000001,$J$8,(1-((1+Planner!C26)/(1+Planner!C20))^$J$8)/(1-((1+Planner!C26)/(1+Planner!C20))))</f>
        <v/>
      </c>
    </row>
    <row r="13">
      <c r="B13" s="8" t="inlineStr">
        <is>
          <t>Barista income is subtracted gross. Tax on it is not modelled.</t>
        </is>
      </c>
      <c r="I13" s="8" t="inlineStr">
        <is>
          <t>factorBarista</t>
        </is>
      </c>
      <c r="J13" s="6">
        <f>IF(ABS(Planner!C24-Planner!C20)&lt;0.0000001,$J$9,(1-((1+Planner!C24)/(1+Planner!C20))^$J$9)/(1-((1+Planner!C24)/(1+Planner!C20))))</f>
        <v/>
      </c>
    </row>
    <row r="14">
      <c r="I14" s="8" t="inlineStr">
        <is>
          <t>Full FIRE corpus, reused by Coast and Barista</t>
        </is>
      </c>
      <c r="J14" s="6">
        <f>(Planner!E49*1*(1+Planner!C24)^$J$6*$J$10+Planner!E50*1*(1+Planner!C25)^$J$6*$J$11+Planner!M13*1*$J$17+Planner!E51*1*(1+Planner!C26)^$J$6*$J$12+Planner!N46)/(1-Planner!C9)+Planner!E80</f>
        <v/>
      </c>
    </row>
    <row r="15">
      <c r="B15" s="10" t="inlineStr">
        <is>
          <t>Every one of these five is explained on planmyfire.in →</t>
        </is>
      </c>
      <c r="I15" s="8" t="inlineStr">
        <is>
          <t>nHot = draws while healthcare still runs hot</t>
        </is>
      </c>
      <c r="J15" s="6">
        <f>MAX(0,MIN(Planner!E25,120-Planner!C6)-$J$6+1)</f>
        <v/>
      </c>
    </row>
    <row r="16">
      <c r="I16" s="8" t="inlineStr">
        <is>
          <t>nTail = draws after it settles</t>
        </is>
      </c>
      <c r="J16" s="6">
        <f>MAX(0,120-Planner!C6-MAX(Planner!E25+1,$J$6)+1)</f>
        <v/>
      </c>
    </row>
    <row r="17">
      <c r="B17" s="8" t="inlineStr">
        <is>
          <t>An educational model, not financial advice. planMyFIRE is not a SEBI-registered adviser. Returns are assumptions, not forecasts.</t>
        </is>
      </c>
      <c r="I17" s="8" t="inlineStr">
        <is>
          <t>factorHealthTail</t>
        </is>
      </c>
      <c r="J17" s="6">
        <f>IF(ABS(Planner!C24-Planner!C20)&lt;0.0000001,$J$16,(1-((1+Planner!C24)/(1+Planner!C20))^$J$16)/(1-((1+Planner!C24)/(1+Planner!C20))))</f>
        <v/>
      </c>
    </row>
    <row r="18">
      <c r="B18" s="10" t="inlineStr">
        <is>
          <t>PlanMyFIRE  ·  2026 edition  ·  planmyfire.in/planner  —  the guide, the calculators and the newest version of this sheet all live here</t>
        </is>
      </c>
    </row>
  </sheetData>
  <sheetProtection selectLockedCells="0" selectUnlockedCells="0" sheet="1" objects="0" insertRows="1" insertHyperlinks="1" autoFilter="1" scenarios="0" formatColumns="1" deleteColumns="1" insertColumns="1" pivotTables="1" deleteRows="1" formatCells="0" formatRows="1" sort="1"/>
  <mergeCells count="4">
    <mergeCell ref="B3:G3"/>
    <mergeCell ref="B2:G2"/>
    <mergeCell ref="B18:G18"/>
    <mergeCell ref="B17:G17"/>
  </mergeCells>
  <conditionalFormatting sqref="B6:G10">
    <cfRule type="expression" priority="1" dxfId="1">
      <formula>$B6='Start here'!$C$6</formula>
    </cfRule>
  </conditionalFormatting>
  <hyperlinks>
    <hyperlink xmlns:r="http://schemas.openxmlformats.org/officeDocument/2006/relationships" ref="B2" r:id="rId1"/>
    <hyperlink xmlns:r="http://schemas.openxmlformats.org/officeDocument/2006/relationships" ref="B15" r:id="rId2"/>
    <hyperlink xmlns:r="http://schemas.openxmlformats.org/officeDocument/2006/relationships" ref="B18" r:id="rId3"/>
  </hyperlinks>
  <pageMargins left="0.75" right="0.75" top="1" bottom="1" header="0.5" footer="0.5"/>
</worksheet>
</file>

<file path=xl/worksheets/sheet4.xml><?xml version="1.0" encoding="utf-8"?>
<worksheet xmlns="http://schemas.openxmlformats.org/spreadsheetml/2006/main">
  <sheetPr>
    <outlinePr summaryBelow="1" summaryRight="1"/>
    <pageSetUpPr/>
  </sheetPr>
  <dimension ref="B2:I112"/>
  <sheetViews>
    <sheetView showGridLines="0" workbookViewId="0">
      <pane ySplit="5" topLeftCell="A6" activePane="bottomLeft" state="frozen"/>
      <selection pane="bottomLeft" activeCell="A1" sqref="A1"/>
    </sheetView>
  </sheetViews>
  <sheetFormatPr baseColWidth="8" defaultRowHeight="15"/>
  <cols>
    <col width="2" customWidth="1" min="1" max="1"/>
    <col width="6" customWidth="1" min="2" max="2"/>
    <col width="6" customWidth="1" min="3" max="3"/>
    <col width="10" customWidth="1" min="4" max="4"/>
    <col width="17" customWidth="1" min="5" max="5"/>
    <col width="19" customWidth="1" min="6" max="6"/>
    <col width="16" customWidth="1" min="7" max="7"/>
    <col width="22" customWidth="1" min="8" max="8"/>
    <col width="9" customWidth="1" min="9" max="9"/>
  </cols>
  <sheetData>
    <row r="2" ht="26" customHeight="1">
      <c r="B2" s="50" t="inlineStr">
        <is>
          <t>Your money, year by year  —  nothing to fill in here</t>
        </is>
      </c>
    </row>
    <row r="3" ht="52" customHeight="1">
      <c r="B3" s="51" t="inlineStr">
        <is>
          <t>While you are working, savings go in and your salary pays the bills. From your target FIRE age, living expenses come out of the corpus instead, grossed up for tax, each part rising at its own rate. Sinking funds and any remaining EMIs come out in the years they fall due. If the last column never lights up, the money lasted.</t>
        </is>
      </c>
    </row>
    <row r="4" ht="32" customHeight="1">
      <c r="B4" s="52">
        <f>IF(IFERROR(INDEX($C$6:$C$108,MATCH(1,$I$6:$I$108,0)),999)&gt;120,"Investing "&amp;IF('Start here'!$C$21="Required SIP","the required ","your current ")&amp;"₹"&amp;Planner!M9&amp;" a month and drawing ₹"&amp;Planner!M8&amp;" a month from age "&amp;TEXT(Planner!C7,"0")&amp;", the money lasts through age 120.","Investing "&amp;IF('Start here'!$C$21="Required SIP","the required ","your current ")&amp;"₹"&amp;Planner!M9&amp;" a month and drawing ₹"&amp;Planner!M8&amp;" a month from age "&amp;TEXT(Planner!C7,"0")&amp;", the money runs out at age "&amp;TEXT(IFERROR(INDEX($C$6:$C$108,MATCH(1,$I$6:$I$108,0)),999),"0")&amp;".  The SIP on the Planner tab is what closes that gap.")</f>
        <v/>
      </c>
    </row>
    <row r="5" ht="30" customHeight="1">
      <c r="B5" s="53" t="inlineStr">
        <is>
          <t>Year</t>
        </is>
      </c>
      <c r="C5" s="53" t="inlineStr">
        <is>
          <t>Age</t>
        </is>
      </c>
      <c r="D5" s="53" t="inlineStr">
        <is>
          <t>Phase</t>
        </is>
      </c>
      <c r="E5" s="53" t="inlineStr">
        <is>
          <t>Invested this year</t>
        </is>
      </c>
      <c r="F5" s="53" t="inlineStr">
        <is>
          <t>Living expenses out</t>
        </is>
      </c>
      <c r="G5" s="53" t="inlineStr">
        <is>
          <t>Goals out</t>
        </is>
      </c>
      <c r="H5" s="53" t="inlineStr">
        <is>
          <t>Corpus at year end</t>
        </is>
      </c>
      <c r="I5" s="53" t="inlineStr">
        <is>
          <t>Short?</t>
        </is>
      </c>
    </row>
    <row r="6">
      <c r="B6" s="54" t="n">
        <v>0</v>
      </c>
      <c r="C6" s="54">
        <f>Planner!C6+0</f>
        <v/>
      </c>
      <c r="D6" s="55">
        <f>IF(C6&lt;Planner!C7,"Working","Retired")</f>
        <v/>
      </c>
      <c r="E6" s="56">
        <f>IF(AND(C6&lt;Planner!C7,C6&lt;'Start here'!$M$6),'Start here'!$M$9*12*(1+Planner!C24)^0,0)</f>
        <v/>
      </c>
      <c r="F6" s="56">
        <f>IF(C6&lt;Planner!C7,0,MAX(0,(Planner!E49*(1+Planner!C24)^0+IF(C6&lt;=Planner!M25,Planner!E50*(1+Planner!C25)^0,Planner!E50*(1+Planner!C25)^Planner!E25*(1+Planner!C24)^(0-Planner!E25))+IF(C6&lt;=Planner!M26,Planner!E51*(1+Planner!C26)^0,0)+SUMPRODUCT((Planner!$D$41:$D$45&gt;0)*Planner!$C$41:$C$45*12))-(IF(AND(C6&gt;=Planner!C7,C6&lt;='Start here'!$M$8),'Start here'!$M$7*(1+Planner!C24)^0,0)))/(1-Planner!C9))</f>
        <v/>
      </c>
      <c r="G6" s="56">
        <f>SUMPRODUCT((Planner!$D$71:$D$79=0)*Planner!$C$71:$C$79*(1+Planner!$N$71:$N$79)^(Planner!$D$71:$D$79))</f>
        <v/>
      </c>
      <c r="H6" s="56">
        <f>(Planner!C67+E6-F6-G6)*(1+IF(C6&lt;Planner!C7,Planner!C19,Planner!C20))</f>
        <v/>
      </c>
      <c r="I6" s="54">
        <f>IF(ROUND(H6,0)&lt;0,1,0)</f>
        <v/>
      </c>
    </row>
    <row r="7">
      <c r="B7" s="54" t="n">
        <v>1</v>
      </c>
      <c r="C7" s="54">
        <f>Planner!C6+1</f>
        <v/>
      </c>
      <c r="D7" s="55">
        <f>IF(C7&lt;Planner!C7,"Working","Retired")</f>
        <v/>
      </c>
      <c r="E7" s="56">
        <f>IF(AND(C7&lt;Planner!C7,C7&lt;'Start here'!$M$6),'Start here'!$M$9*12*(1+Planner!C24)^1,0)</f>
        <v/>
      </c>
      <c r="F7" s="56">
        <f>IF(C7&lt;Planner!C7,0,MAX(0,(Planner!E49*(1+Planner!C24)^1+IF(C7&lt;=Planner!M25,Planner!E50*(1+Planner!C25)^1,Planner!E50*(1+Planner!C25)^Planner!E25*(1+Planner!C24)^(1-Planner!E25))+IF(C7&lt;=Planner!M26,Planner!E51*(1+Planner!C26)^1,0)+SUMPRODUCT((Planner!$D$41:$D$45&gt;1)*Planner!$C$41:$C$45*12))-(IF(AND(C7&gt;=Planner!C7,C7&lt;='Start here'!$M$8),'Start here'!$M$7*(1+Planner!C24)^1,0)))/(1-Planner!C9))</f>
        <v/>
      </c>
      <c r="G7" s="56">
        <f>SUMPRODUCT((Planner!$D$71:$D$79=1)*Planner!$C$71:$C$79*(1+Planner!$N$71:$N$79)^(Planner!$D$71:$D$79))</f>
        <v/>
      </c>
      <c r="H7" s="56">
        <f>(H6+E7-F7-G7)*(1+IF(C7&lt;Planner!C7,Planner!C19,Planner!C20))</f>
        <v/>
      </c>
      <c r="I7" s="54">
        <f>IF(ROUND(H7,0)&lt;0,1,0)</f>
        <v/>
      </c>
    </row>
    <row r="8">
      <c r="B8" s="54" t="n">
        <v>2</v>
      </c>
      <c r="C8" s="54">
        <f>Planner!C6+2</f>
        <v/>
      </c>
      <c r="D8" s="55">
        <f>IF(C8&lt;Planner!C7,"Working","Retired")</f>
        <v/>
      </c>
      <c r="E8" s="56">
        <f>IF(AND(C8&lt;Planner!C7,C8&lt;'Start here'!$M$6),'Start here'!$M$9*12*(1+Planner!C24)^2,0)</f>
        <v/>
      </c>
      <c r="F8" s="56">
        <f>IF(C8&lt;Planner!C7,0,MAX(0,(Planner!E49*(1+Planner!C24)^2+IF(C8&lt;=Planner!M25,Planner!E50*(1+Planner!C25)^2,Planner!E50*(1+Planner!C25)^Planner!E25*(1+Planner!C24)^(2-Planner!E25))+IF(C8&lt;=Planner!M26,Planner!E51*(1+Planner!C26)^2,0)+SUMPRODUCT((Planner!$D$41:$D$45&gt;2)*Planner!$C$41:$C$45*12))-(IF(AND(C8&gt;=Planner!C7,C8&lt;='Start here'!$M$8),'Start here'!$M$7*(1+Planner!C24)^2,0)))/(1-Planner!C9))</f>
        <v/>
      </c>
      <c r="G8" s="56">
        <f>SUMPRODUCT((Planner!$D$71:$D$79=2)*Planner!$C$71:$C$79*(1+Planner!$N$71:$N$79)^(Planner!$D$71:$D$79))</f>
        <v/>
      </c>
      <c r="H8" s="56">
        <f>(H7+E8-F8-G8)*(1+IF(C8&lt;Planner!C7,Planner!C19,Planner!C20))</f>
        <v/>
      </c>
      <c r="I8" s="54">
        <f>IF(ROUND(H8,0)&lt;0,1,0)</f>
        <v/>
      </c>
    </row>
    <row r="9">
      <c r="B9" s="54" t="n">
        <v>3</v>
      </c>
      <c r="C9" s="54">
        <f>Planner!C6+3</f>
        <v/>
      </c>
      <c r="D9" s="55">
        <f>IF(C9&lt;Planner!C7,"Working","Retired")</f>
        <v/>
      </c>
      <c r="E9" s="56">
        <f>IF(AND(C9&lt;Planner!C7,C9&lt;'Start here'!$M$6),'Start here'!$M$9*12*(1+Planner!C24)^3,0)</f>
        <v/>
      </c>
      <c r="F9" s="56">
        <f>IF(C9&lt;Planner!C7,0,MAX(0,(Planner!E49*(1+Planner!C24)^3+IF(C9&lt;=Planner!M25,Planner!E50*(1+Planner!C25)^3,Planner!E50*(1+Planner!C25)^Planner!E25*(1+Planner!C24)^(3-Planner!E25))+IF(C9&lt;=Planner!M26,Planner!E51*(1+Planner!C26)^3,0)+SUMPRODUCT((Planner!$D$41:$D$45&gt;3)*Planner!$C$41:$C$45*12))-(IF(AND(C9&gt;=Planner!C7,C9&lt;='Start here'!$M$8),'Start here'!$M$7*(1+Planner!C24)^3,0)))/(1-Planner!C9))</f>
        <v/>
      </c>
      <c r="G9" s="56">
        <f>SUMPRODUCT((Planner!$D$71:$D$79=3)*Planner!$C$71:$C$79*(1+Planner!$N$71:$N$79)^(Planner!$D$71:$D$79))</f>
        <v/>
      </c>
      <c r="H9" s="56">
        <f>(H8+E9-F9-G9)*(1+IF(C9&lt;Planner!C7,Planner!C19,Planner!C20))</f>
        <v/>
      </c>
      <c r="I9" s="54">
        <f>IF(ROUND(H9,0)&lt;0,1,0)</f>
        <v/>
      </c>
    </row>
    <row r="10">
      <c r="B10" s="54" t="n">
        <v>4</v>
      </c>
      <c r="C10" s="54">
        <f>Planner!C6+4</f>
        <v/>
      </c>
      <c r="D10" s="55">
        <f>IF(C10&lt;Planner!C7,"Working","Retired")</f>
        <v/>
      </c>
      <c r="E10" s="56">
        <f>IF(AND(C10&lt;Planner!C7,C10&lt;'Start here'!$M$6),'Start here'!$M$9*12*(1+Planner!C24)^4,0)</f>
        <v/>
      </c>
      <c r="F10" s="56">
        <f>IF(C10&lt;Planner!C7,0,MAX(0,(Planner!E49*(1+Planner!C24)^4+IF(C10&lt;=Planner!M25,Planner!E50*(1+Planner!C25)^4,Planner!E50*(1+Planner!C25)^Planner!E25*(1+Planner!C24)^(4-Planner!E25))+IF(C10&lt;=Planner!M26,Planner!E51*(1+Planner!C26)^4,0)+SUMPRODUCT((Planner!$D$41:$D$45&gt;4)*Planner!$C$41:$C$45*12))-(IF(AND(C10&gt;=Planner!C7,C10&lt;='Start here'!$M$8),'Start here'!$M$7*(1+Planner!C24)^4,0)))/(1-Planner!C9))</f>
        <v/>
      </c>
      <c r="G10" s="56">
        <f>SUMPRODUCT((Planner!$D$71:$D$79=4)*Planner!$C$71:$C$79*(1+Planner!$N$71:$N$79)^(Planner!$D$71:$D$79))</f>
        <v/>
      </c>
      <c r="H10" s="56">
        <f>(H9+E10-F10-G10)*(1+IF(C10&lt;Planner!C7,Planner!C19,Planner!C20))</f>
        <v/>
      </c>
      <c r="I10" s="54">
        <f>IF(ROUND(H10,0)&lt;0,1,0)</f>
        <v/>
      </c>
    </row>
    <row r="11">
      <c r="B11" s="54" t="n">
        <v>5</v>
      </c>
      <c r="C11" s="54">
        <f>Planner!C6+5</f>
        <v/>
      </c>
      <c r="D11" s="55">
        <f>IF(C11&lt;Planner!C7,"Working","Retired")</f>
        <v/>
      </c>
      <c r="E11" s="56">
        <f>IF(AND(C11&lt;Planner!C7,C11&lt;'Start here'!$M$6),'Start here'!$M$9*12*(1+Planner!C24)^5,0)</f>
        <v/>
      </c>
      <c r="F11" s="56">
        <f>IF(C11&lt;Planner!C7,0,MAX(0,(Planner!E49*(1+Planner!C24)^5+IF(C11&lt;=Planner!M25,Planner!E50*(1+Planner!C25)^5,Planner!E50*(1+Planner!C25)^Planner!E25*(1+Planner!C24)^(5-Planner!E25))+IF(C11&lt;=Planner!M26,Planner!E51*(1+Planner!C26)^5,0)+SUMPRODUCT((Planner!$D$41:$D$45&gt;5)*Planner!$C$41:$C$45*12))-(IF(AND(C11&gt;=Planner!C7,C11&lt;='Start here'!$M$8),'Start here'!$M$7*(1+Planner!C24)^5,0)))/(1-Planner!C9))</f>
        <v/>
      </c>
      <c r="G11" s="56">
        <f>SUMPRODUCT((Planner!$D$71:$D$79=5)*Planner!$C$71:$C$79*(1+Planner!$N$71:$N$79)^(Planner!$D$71:$D$79))</f>
        <v/>
      </c>
      <c r="H11" s="56">
        <f>(H10+E11-F11-G11)*(1+IF(C11&lt;Planner!C7,Planner!C19,Planner!C20))</f>
        <v/>
      </c>
      <c r="I11" s="54">
        <f>IF(ROUND(H11,0)&lt;0,1,0)</f>
        <v/>
      </c>
    </row>
    <row r="12">
      <c r="B12" s="54" t="n">
        <v>6</v>
      </c>
      <c r="C12" s="54">
        <f>Planner!C6+6</f>
        <v/>
      </c>
      <c r="D12" s="55">
        <f>IF(C12&lt;Planner!C7,"Working","Retired")</f>
        <v/>
      </c>
      <c r="E12" s="56">
        <f>IF(AND(C12&lt;Planner!C7,C12&lt;'Start here'!$M$6),'Start here'!$M$9*12*(1+Planner!C24)^6,0)</f>
        <v/>
      </c>
      <c r="F12" s="56">
        <f>IF(C12&lt;Planner!C7,0,MAX(0,(Planner!E49*(1+Planner!C24)^6+IF(C12&lt;=Planner!M25,Planner!E50*(1+Planner!C25)^6,Planner!E50*(1+Planner!C25)^Planner!E25*(1+Planner!C24)^(6-Planner!E25))+IF(C12&lt;=Planner!M26,Planner!E51*(1+Planner!C26)^6,0)+SUMPRODUCT((Planner!$D$41:$D$45&gt;6)*Planner!$C$41:$C$45*12))-(IF(AND(C12&gt;=Planner!C7,C12&lt;='Start here'!$M$8),'Start here'!$M$7*(1+Planner!C24)^6,0)))/(1-Planner!C9))</f>
        <v/>
      </c>
      <c r="G12" s="56">
        <f>SUMPRODUCT((Planner!$D$71:$D$79=6)*Planner!$C$71:$C$79*(1+Planner!$N$71:$N$79)^(Planner!$D$71:$D$79))</f>
        <v/>
      </c>
      <c r="H12" s="56">
        <f>(H11+E12-F12-G12)*(1+IF(C12&lt;Planner!C7,Planner!C19,Planner!C20))</f>
        <v/>
      </c>
      <c r="I12" s="54">
        <f>IF(ROUND(H12,0)&lt;0,1,0)</f>
        <v/>
      </c>
    </row>
    <row r="13">
      <c r="B13" s="54" t="n">
        <v>7</v>
      </c>
      <c r="C13" s="54">
        <f>Planner!C6+7</f>
        <v/>
      </c>
      <c r="D13" s="55">
        <f>IF(C13&lt;Planner!C7,"Working","Retired")</f>
        <v/>
      </c>
      <c r="E13" s="56">
        <f>IF(AND(C13&lt;Planner!C7,C13&lt;'Start here'!$M$6),'Start here'!$M$9*12*(1+Planner!C24)^7,0)</f>
        <v/>
      </c>
      <c r="F13" s="56">
        <f>IF(C13&lt;Planner!C7,0,MAX(0,(Planner!E49*(1+Planner!C24)^7+IF(C13&lt;=Planner!M25,Planner!E50*(1+Planner!C25)^7,Planner!E50*(1+Planner!C25)^Planner!E25*(1+Planner!C24)^(7-Planner!E25))+IF(C13&lt;=Planner!M26,Planner!E51*(1+Planner!C26)^7,0)+SUMPRODUCT((Planner!$D$41:$D$45&gt;7)*Planner!$C$41:$C$45*12))-(IF(AND(C13&gt;=Planner!C7,C13&lt;='Start here'!$M$8),'Start here'!$M$7*(1+Planner!C24)^7,0)))/(1-Planner!C9))</f>
        <v/>
      </c>
      <c r="G13" s="56">
        <f>SUMPRODUCT((Planner!$D$71:$D$79=7)*Planner!$C$71:$C$79*(1+Planner!$N$71:$N$79)^(Planner!$D$71:$D$79))</f>
        <v/>
      </c>
      <c r="H13" s="56">
        <f>(H12+E13-F13-G13)*(1+IF(C13&lt;Planner!C7,Planner!C19,Planner!C20))</f>
        <v/>
      </c>
      <c r="I13" s="54">
        <f>IF(ROUND(H13,0)&lt;0,1,0)</f>
        <v/>
      </c>
    </row>
    <row r="14">
      <c r="B14" s="54" t="n">
        <v>8</v>
      </c>
      <c r="C14" s="54">
        <f>Planner!C6+8</f>
        <v/>
      </c>
      <c r="D14" s="55">
        <f>IF(C14&lt;Planner!C7,"Working","Retired")</f>
        <v/>
      </c>
      <c r="E14" s="56">
        <f>IF(AND(C14&lt;Planner!C7,C14&lt;'Start here'!$M$6),'Start here'!$M$9*12*(1+Planner!C24)^8,0)</f>
        <v/>
      </c>
      <c r="F14" s="56">
        <f>IF(C14&lt;Planner!C7,0,MAX(0,(Planner!E49*(1+Planner!C24)^8+IF(C14&lt;=Planner!M25,Planner!E50*(1+Planner!C25)^8,Planner!E50*(1+Planner!C25)^Planner!E25*(1+Planner!C24)^(8-Planner!E25))+IF(C14&lt;=Planner!M26,Planner!E51*(1+Planner!C26)^8,0)+SUMPRODUCT((Planner!$D$41:$D$45&gt;8)*Planner!$C$41:$C$45*12))-(IF(AND(C14&gt;=Planner!C7,C14&lt;='Start here'!$M$8),'Start here'!$M$7*(1+Planner!C24)^8,0)))/(1-Planner!C9))</f>
        <v/>
      </c>
      <c r="G14" s="56">
        <f>SUMPRODUCT((Planner!$D$71:$D$79=8)*Planner!$C$71:$C$79*(1+Planner!$N$71:$N$79)^(Planner!$D$71:$D$79))</f>
        <v/>
      </c>
      <c r="H14" s="56">
        <f>(H13+E14-F14-G14)*(1+IF(C14&lt;Planner!C7,Planner!C19,Planner!C20))</f>
        <v/>
      </c>
      <c r="I14" s="54">
        <f>IF(ROUND(H14,0)&lt;0,1,0)</f>
        <v/>
      </c>
    </row>
    <row r="15">
      <c r="B15" s="54" t="n">
        <v>9</v>
      </c>
      <c r="C15" s="54">
        <f>Planner!C6+9</f>
        <v/>
      </c>
      <c r="D15" s="55">
        <f>IF(C15&lt;Planner!C7,"Working","Retired")</f>
        <v/>
      </c>
      <c r="E15" s="56">
        <f>IF(AND(C15&lt;Planner!C7,C15&lt;'Start here'!$M$6),'Start here'!$M$9*12*(1+Planner!C24)^9,0)</f>
        <v/>
      </c>
      <c r="F15" s="56">
        <f>IF(C15&lt;Planner!C7,0,MAX(0,(Planner!E49*(1+Planner!C24)^9+IF(C15&lt;=Planner!M25,Planner!E50*(1+Planner!C25)^9,Planner!E50*(1+Planner!C25)^Planner!E25*(1+Planner!C24)^(9-Planner!E25))+IF(C15&lt;=Planner!M26,Planner!E51*(1+Planner!C26)^9,0)+SUMPRODUCT((Planner!$D$41:$D$45&gt;9)*Planner!$C$41:$C$45*12))-(IF(AND(C15&gt;=Planner!C7,C15&lt;='Start here'!$M$8),'Start here'!$M$7*(1+Planner!C24)^9,0)))/(1-Planner!C9))</f>
        <v/>
      </c>
      <c r="G15" s="56">
        <f>SUMPRODUCT((Planner!$D$71:$D$79=9)*Planner!$C$71:$C$79*(1+Planner!$N$71:$N$79)^(Planner!$D$71:$D$79))</f>
        <v/>
      </c>
      <c r="H15" s="56">
        <f>(H14+E15-F15-G15)*(1+IF(C15&lt;Planner!C7,Planner!C19,Planner!C20))</f>
        <v/>
      </c>
      <c r="I15" s="54">
        <f>IF(ROUND(H15,0)&lt;0,1,0)</f>
        <v/>
      </c>
    </row>
    <row r="16">
      <c r="B16" s="54" t="n">
        <v>10</v>
      </c>
      <c r="C16" s="54">
        <f>Planner!C6+10</f>
        <v/>
      </c>
      <c r="D16" s="55">
        <f>IF(C16&lt;Planner!C7,"Working","Retired")</f>
        <v/>
      </c>
      <c r="E16" s="56">
        <f>IF(AND(C16&lt;Planner!C7,C16&lt;'Start here'!$M$6),'Start here'!$M$9*12*(1+Planner!C24)^10,0)</f>
        <v/>
      </c>
      <c r="F16" s="56">
        <f>IF(C16&lt;Planner!C7,0,MAX(0,(Planner!E49*(1+Planner!C24)^10+IF(C16&lt;=Planner!M25,Planner!E50*(1+Planner!C25)^10,Planner!E50*(1+Planner!C25)^Planner!E25*(1+Planner!C24)^(10-Planner!E25))+IF(C16&lt;=Planner!M26,Planner!E51*(1+Planner!C26)^10,0)+SUMPRODUCT((Planner!$D$41:$D$45&gt;10)*Planner!$C$41:$C$45*12))-(IF(AND(C16&gt;=Planner!C7,C16&lt;='Start here'!$M$8),'Start here'!$M$7*(1+Planner!C24)^10,0)))/(1-Planner!C9))</f>
        <v/>
      </c>
      <c r="G16" s="56">
        <f>SUMPRODUCT((Planner!$D$71:$D$79=10)*Planner!$C$71:$C$79*(1+Planner!$N$71:$N$79)^(Planner!$D$71:$D$79))</f>
        <v/>
      </c>
      <c r="H16" s="56">
        <f>(H15+E16-F16-G16)*(1+IF(C16&lt;Planner!C7,Planner!C19,Planner!C20))</f>
        <v/>
      </c>
      <c r="I16" s="54">
        <f>IF(ROUND(H16,0)&lt;0,1,0)</f>
        <v/>
      </c>
    </row>
    <row r="17">
      <c r="B17" s="54" t="n">
        <v>11</v>
      </c>
      <c r="C17" s="54">
        <f>Planner!C6+11</f>
        <v/>
      </c>
      <c r="D17" s="55">
        <f>IF(C17&lt;Planner!C7,"Working","Retired")</f>
        <v/>
      </c>
      <c r="E17" s="56">
        <f>IF(AND(C17&lt;Planner!C7,C17&lt;'Start here'!$M$6),'Start here'!$M$9*12*(1+Planner!C24)^11,0)</f>
        <v/>
      </c>
      <c r="F17" s="56">
        <f>IF(C17&lt;Planner!C7,0,MAX(0,(Planner!E49*(1+Planner!C24)^11+IF(C17&lt;=Planner!M25,Planner!E50*(1+Planner!C25)^11,Planner!E50*(1+Planner!C25)^Planner!E25*(1+Planner!C24)^(11-Planner!E25))+IF(C17&lt;=Planner!M26,Planner!E51*(1+Planner!C26)^11,0)+SUMPRODUCT((Planner!$D$41:$D$45&gt;11)*Planner!$C$41:$C$45*12))-(IF(AND(C17&gt;=Planner!C7,C17&lt;='Start here'!$M$8),'Start here'!$M$7*(1+Planner!C24)^11,0)))/(1-Planner!C9))</f>
        <v/>
      </c>
      <c r="G17" s="56">
        <f>SUMPRODUCT((Planner!$D$71:$D$79=11)*Planner!$C$71:$C$79*(1+Planner!$N$71:$N$79)^(Planner!$D$71:$D$79))</f>
        <v/>
      </c>
      <c r="H17" s="56">
        <f>(H16+E17-F17-G17)*(1+IF(C17&lt;Planner!C7,Planner!C19,Planner!C20))</f>
        <v/>
      </c>
      <c r="I17" s="54">
        <f>IF(ROUND(H17,0)&lt;0,1,0)</f>
        <v/>
      </c>
    </row>
    <row r="18">
      <c r="B18" s="54" t="n">
        <v>12</v>
      </c>
      <c r="C18" s="54">
        <f>Planner!C6+12</f>
        <v/>
      </c>
      <c r="D18" s="55">
        <f>IF(C18&lt;Planner!C7,"Working","Retired")</f>
        <v/>
      </c>
      <c r="E18" s="56">
        <f>IF(AND(C18&lt;Planner!C7,C18&lt;'Start here'!$M$6),'Start here'!$M$9*12*(1+Planner!C24)^12,0)</f>
        <v/>
      </c>
      <c r="F18" s="56">
        <f>IF(C18&lt;Planner!C7,0,MAX(0,(Planner!E49*(1+Planner!C24)^12+IF(C18&lt;=Planner!M25,Planner!E50*(1+Planner!C25)^12,Planner!E50*(1+Planner!C25)^Planner!E25*(1+Planner!C24)^(12-Planner!E25))+IF(C18&lt;=Planner!M26,Planner!E51*(1+Planner!C26)^12,0)+SUMPRODUCT((Planner!$D$41:$D$45&gt;12)*Planner!$C$41:$C$45*12))-(IF(AND(C18&gt;=Planner!C7,C18&lt;='Start here'!$M$8),'Start here'!$M$7*(1+Planner!C24)^12,0)))/(1-Planner!C9))</f>
        <v/>
      </c>
      <c r="G18" s="56">
        <f>SUMPRODUCT((Planner!$D$71:$D$79=12)*Planner!$C$71:$C$79*(1+Planner!$N$71:$N$79)^(Planner!$D$71:$D$79))</f>
        <v/>
      </c>
      <c r="H18" s="56">
        <f>(H17+E18-F18-G18)*(1+IF(C18&lt;Planner!C7,Planner!C19,Planner!C20))</f>
        <v/>
      </c>
      <c r="I18" s="54">
        <f>IF(ROUND(H18,0)&lt;0,1,0)</f>
        <v/>
      </c>
    </row>
    <row r="19">
      <c r="B19" s="54" t="n">
        <v>13</v>
      </c>
      <c r="C19" s="54">
        <f>Planner!C6+13</f>
        <v/>
      </c>
      <c r="D19" s="55">
        <f>IF(C19&lt;Planner!C7,"Working","Retired")</f>
        <v/>
      </c>
      <c r="E19" s="56">
        <f>IF(AND(C19&lt;Planner!C7,C19&lt;'Start here'!$M$6),'Start here'!$M$9*12*(1+Planner!C24)^13,0)</f>
        <v/>
      </c>
      <c r="F19" s="56">
        <f>IF(C19&lt;Planner!C7,0,MAX(0,(Planner!E49*(1+Planner!C24)^13+IF(C19&lt;=Planner!M25,Planner!E50*(1+Planner!C25)^13,Planner!E50*(1+Planner!C25)^Planner!E25*(1+Planner!C24)^(13-Planner!E25))+IF(C19&lt;=Planner!M26,Planner!E51*(1+Planner!C26)^13,0)+SUMPRODUCT((Planner!$D$41:$D$45&gt;13)*Planner!$C$41:$C$45*12))-(IF(AND(C19&gt;=Planner!C7,C19&lt;='Start here'!$M$8),'Start here'!$M$7*(1+Planner!C24)^13,0)))/(1-Planner!C9))</f>
        <v/>
      </c>
      <c r="G19" s="56">
        <f>SUMPRODUCT((Planner!$D$71:$D$79=13)*Planner!$C$71:$C$79*(1+Planner!$N$71:$N$79)^(Planner!$D$71:$D$79))</f>
        <v/>
      </c>
      <c r="H19" s="56">
        <f>(H18+E19-F19-G19)*(1+IF(C19&lt;Planner!C7,Planner!C19,Planner!C20))</f>
        <v/>
      </c>
      <c r="I19" s="54">
        <f>IF(ROUND(H19,0)&lt;0,1,0)</f>
        <v/>
      </c>
    </row>
    <row r="20">
      <c r="B20" s="54" t="n">
        <v>14</v>
      </c>
      <c r="C20" s="54">
        <f>Planner!C6+14</f>
        <v/>
      </c>
      <c r="D20" s="55">
        <f>IF(C20&lt;Planner!C7,"Working","Retired")</f>
        <v/>
      </c>
      <c r="E20" s="56">
        <f>IF(AND(C20&lt;Planner!C7,C20&lt;'Start here'!$M$6),'Start here'!$M$9*12*(1+Planner!C24)^14,0)</f>
        <v/>
      </c>
      <c r="F20" s="56">
        <f>IF(C20&lt;Planner!C7,0,MAX(0,(Planner!E49*(1+Planner!C24)^14+IF(C20&lt;=Planner!M25,Planner!E50*(1+Planner!C25)^14,Planner!E50*(1+Planner!C25)^Planner!E25*(1+Planner!C24)^(14-Planner!E25))+IF(C20&lt;=Planner!M26,Planner!E51*(1+Planner!C26)^14,0)+SUMPRODUCT((Planner!$D$41:$D$45&gt;14)*Planner!$C$41:$C$45*12))-(IF(AND(C20&gt;=Planner!C7,C20&lt;='Start here'!$M$8),'Start here'!$M$7*(1+Planner!C24)^14,0)))/(1-Planner!C9))</f>
        <v/>
      </c>
      <c r="G20" s="56">
        <f>SUMPRODUCT((Planner!$D$71:$D$79=14)*Planner!$C$71:$C$79*(1+Planner!$N$71:$N$79)^(Planner!$D$71:$D$79))</f>
        <v/>
      </c>
      <c r="H20" s="56">
        <f>(H19+E20-F20-G20)*(1+IF(C20&lt;Planner!C7,Planner!C19,Planner!C20))</f>
        <v/>
      </c>
      <c r="I20" s="54">
        <f>IF(ROUND(H20,0)&lt;0,1,0)</f>
        <v/>
      </c>
    </row>
    <row r="21">
      <c r="B21" s="54" t="n">
        <v>15</v>
      </c>
      <c r="C21" s="54">
        <f>Planner!C6+15</f>
        <v/>
      </c>
      <c r="D21" s="55">
        <f>IF(C21&lt;Planner!C7,"Working","Retired")</f>
        <v/>
      </c>
      <c r="E21" s="56">
        <f>IF(AND(C21&lt;Planner!C7,C21&lt;'Start here'!$M$6),'Start here'!$M$9*12*(1+Planner!C24)^15,0)</f>
        <v/>
      </c>
      <c r="F21" s="56">
        <f>IF(C21&lt;Planner!C7,0,MAX(0,(Planner!E49*(1+Planner!C24)^15+IF(C21&lt;=Planner!M25,Planner!E50*(1+Planner!C25)^15,Planner!E50*(1+Planner!C25)^Planner!E25*(1+Planner!C24)^(15-Planner!E25))+IF(C21&lt;=Planner!M26,Planner!E51*(1+Planner!C26)^15,0)+SUMPRODUCT((Planner!$D$41:$D$45&gt;15)*Planner!$C$41:$C$45*12))-(IF(AND(C21&gt;=Planner!C7,C21&lt;='Start here'!$M$8),'Start here'!$M$7*(1+Planner!C24)^15,0)))/(1-Planner!C9))</f>
        <v/>
      </c>
      <c r="G21" s="56">
        <f>SUMPRODUCT((Planner!$D$71:$D$79=15)*Planner!$C$71:$C$79*(1+Planner!$N$71:$N$79)^(Planner!$D$71:$D$79))</f>
        <v/>
      </c>
      <c r="H21" s="56">
        <f>(H20+E21-F21-G21)*(1+IF(C21&lt;Planner!C7,Planner!C19,Planner!C20))</f>
        <v/>
      </c>
      <c r="I21" s="54">
        <f>IF(ROUND(H21,0)&lt;0,1,0)</f>
        <v/>
      </c>
    </row>
    <row r="22">
      <c r="B22" s="54" t="n">
        <v>16</v>
      </c>
      <c r="C22" s="54">
        <f>Planner!C6+16</f>
        <v/>
      </c>
      <c r="D22" s="55">
        <f>IF(C22&lt;Planner!C7,"Working","Retired")</f>
        <v/>
      </c>
      <c r="E22" s="56">
        <f>IF(AND(C22&lt;Planner!C7,C22&lt;'Start here'!$M$6),'Start here'!$M$9*12*(1+Planner!C24)^16,0)</f>
        <v/>
      </c>
      <c r="F22" s="56">
        <f>IF(C22&lt;Planner!C7,0,MAX(0,(Planner!E49*(1+Planner!C24)^16+IF(C22&lt;=Planner!M25,Planner!E50*(1+Planner!C25)^16,Planner!E50*(1+Planner!C25)^Planner!E25*(1+Planner!C24)^(16-Planner!E25))+IF(C22&lt;=Planner!M26,Planner!E51*(1+Planner!C26)^16,0)+SUMPRODUCT((Planner!$D$41:$D$45&gt;16)*Planner!$C$41:$C$45*12))-(IF(AND(C22&gt;=Planner!C7,C22&lt;='Start here'!$M$8),'Start here'!$M$7*(1+Planner!C24)^16,0)))/(1-Planner!C9))</f>
        <v/>
      </c>
      <c r="G22" s="56">
        <f>SUMPRODUCT((Planner!$D$71:$D$79=16)*Planner!$C$71:$C$79*(1+Planner!$N$71:$N$79)^(Planner!$D$71:$D$79))</f>
        <v/>
      </c>
      <c r="H22" s="56">
        <f>(H21+E22-F22-G22)*(1+IF(C22&lt;Planner!C7,Planner!C19,Planner!C20))</f>
        <v/>
      </c>
      <c r="I22" s="54">
        <f>IF(ROUND(H22,0)&lt;0,1,0)</f>
        <v/>
      </c>
    </row>
    <row r="23">
      <c r="B23" s="54" t="n">
        <v>17</v>
      </c>
      <c r="C23" s="54">
        <f>Planner!C6+17</f>
        <v/>
      </c>
      <c r="D23" s="55">
        <f>IF(C23&lt;Planner!C7,"Working","Retired")</f>
        <v/>
      </c>
      <c r="E23" s="56">
        <f>IF(AND(C23&lt;Planner!C7,C23&lt;'Start here'!$M$6),'Start here'!$M$9*12*(1+Planner!C24)^17,0)</f>
        <v/>
      </c>
      <c r="F23" s="56">
        <f>IF(C23&lt;Planner!C7,0,MAX(0,(Planner!E49*(1+Planner!C24)^17+IF(C23&lt;=Planner!M25,Planner!E50*(1+Planner!C25)^17,Planner!E50*(1+Planner!C25)^Planner!E25*(1+Planner!C24)^(17-Planner!E25))+IF(C23&lt;=Planner!M26,Planner!E51*(1+Planner!C26)^17,0)+SUMPRODUCT((Planner!$D$41:$D$45&gt;17)*Planner!$C$41:$C$45*12))-(IF(AND(C23&gt;=Planner!C7,C23&lt;='Start here'!$M$8),'Start here'!$M$7*(1+Planner!C24)^17,0)))/(1-Planner!C9))</f>
        <v/>
      </c>
      <c r="G23" s="56">
        <f>SUMPRODUCT((Planner!$D$71:$D$79=17)*Planner!$C$71:$C$79*(1+Planner!$N$71:$N$79)^(Planner!$D$71:$D$79))</f>
        <v/>
      </c>
      <c r="H23" s="56">
        <f>(H22+E23-F23-G23)*(1+IF(C23&lt;Planner!C7,Planner!C19,Planner!C20))</f>
        <v/>
      </c>
      <c r="I23" s="54">
        <f>IF(ROUND(H23,0)&lt;0,1,0)</f>
        <v/>
      </c>
    </row>
    <row r="24">
      <c r="B24" s="54" t="n">
        <v>18</v>
      </c>
      <c r="C24" s="54">
        <f>Planner!C6+18</f>
        <v/>
      </c>
      <c r="D24" s="55">
        <f>IF(C24&lt;Planner!C7,"Working","Retired")</f>
        <v/>
      </c>
      <c r="E24" s="56">
        <f>IF(AND(C24&lt;Planner!C7,C24&lt;'Start here'!$M$6),'Start here'!$M$9*12*(1+Planner!C24)^18,0)</f>
        <v/>
      </c>
      <c r="F24" s="56">
        <f>IF(C24&lt;Planner!C7,0,MAX(0,(Planner!E49*(1+Planner!C24)^18+IF(C24&lt;=Planner!M25,Planner!E50*(1+Planner!C25)^18,Planner!E50*(1+Planner!C25)^Planner!E25*(1+Planner!C24)^(18-Planner!E25))+IF(C24&lt;=Planner!M26,Planner!E51*(1+Planner!C26)^18,0)+SUMPRODUCT((Planner!$D$41:$D$45&gt;18)*Planner!$C$41:$C$45*12))-(IF(AND(C24&gt;=Planner!C7,C24&lt;='Start here'!$M$8),'Start here'!$M$7*(1+Planner!C24)^18,0)))/(1-Planner!C9))</f>
        <v/>
      </c>
      <c r="G24" s="56">
        <f>SUMPRODUCT((Planner!$D$71:$D$79=18)*Planner!$C$71:$C$79*(1+Planner!$N$71:$N$79)^(Planner!$D$71:$D$79))</f>
        <v/>
      </c>
      <c r="H24" s="56">
        <f>(H23+E24-F24-G24)*(1+IF(C24&lt;Planner!C7,Planner!C19,Planner!C20))</f>
        <v/>
      </c>
      <c r="I24" s="54">
        <f>IF(ROUND(H24,0)&lt;0,1,0)</f>
        <v/>
      </c>
    </row>
    <row r="25">
      <c r="B25" s="54" t="n">
        <v>19</v>
      </c>
      <c r="C25" s="54">
        <f>Planner!C6+19</f>
        <v/>
      </c>
      <c r="D25" s="55">
        <f>IF(C25&lt;Planner!C7,"Working","Retired")</f>
        <v/>
      </c>
      <c r="E25" s="56">
        <f>IF(AND(C25&lt;Planner!C7,C25&lt;'Start here'!$M$6),'Start here'!$M$9*12*(1+Planner!C24)^19,0)</f>
        <v/>
      </c>
      <c r="F25" s="56">
        <f>IF(C25&lt;Planner!C7,0,MAX(0,(Planner!E49*(1+Planner!C24)^19+IF(C25&lt;=Planner!M25,Planner!E50*(1+Planner!C25)^19,Planner!E50*(1+Planner!C25)^Planner!E25*(1+Planner!C24)^(19-Planner!E25))+IF(C25&lt;=Planner!M26,Planner!E51*(1+Planner!C26)^19,0)+SUMPRODUCT((Planner!$D$41:$D$45&gt;19)*Planner!$C$41:$C$45*12))-(IF(AND(C25&gt;=Planner!C7,C25&lt;='Start here'!$M$8),'Start here'!$M$7*(1+Planner!C24)^19,0)))/(1-Planner!C9))</f>
        <v/>
      </c>
      <c r="G25" s="56">
        <f>SUMPRODUCT((Planner!$D$71:$D$79=19)*Planner!$C$71:$C$79*(1+Planner!$N$71:$N$79)^(Planner!$D$71:$D$79))</f>
        <v/>
      </c>
      <c r="H25" s="56">
        <f>(H24+E25-F25-G25)*(1+IF(C25&lt;Planner!C7,Planner!C19,Planner!C20))</f>
        <v/>
      </c>
      <c r="I25" s="54">
        <f>IF(ROUND(H25,0)&lt;0,1,0)</f>
        <v/>
      </c>
    </row>
    <row r="26">
      <c r="B26" s="54" t="n">
        <v>20</v>
      </c>
      <c r="C26" s="54">
        <f>Planner!C6+20</f>
        <v/>
      </c>
      <c r="D26" s="55">
        <f>IF(C26&lt;Planner!C7,"Working","Retired")</f>
        <v/>
      </c>
      <c r="E26" s="56">
        <f>IF(AND(C26&lt;Planner!C7,C26&lt;'Start here'!$M$6),'Start here'!$M$9*12*(1+Planner!C24)^20,0)</f>
        <v/>
      </c>
      <c r="F26" s="56">
        <f>IF(C26&lt;Planner!C7,0,MAX(0,(Planner!E49*(1+Planner!C24)^20+IF(C26&lt;=Planner!M25,Planner!E50*(1+Planner!C25)^20,Planner!E50*(1+Planner!C25)^Planner!E25*(1+Planner!C24)^(20-Planner!E25))+IF(C26&lt;=Planner!M26,Planner!E51*(1+Planner!C26)^20,0)+SUMPRODUCT((Planner!$D$41:$D$45&gt;20)*Planner!$C$41:$C$45*12))-(IF(AND(C26&gt;=Planner!C7,C26&lt;='Start here'!$M$8),'Start here'!$M$7*(1+Planner!C24)^20,0)))/(1-Planner!C9))</f>
        <v/>
      </c>
      <c r="G26" s="56">
        <f>SUMPRODUCT((Planner!$D$71:$D$79=20)*Planner!$C$71:$C$79*(1+Planner!$N$71:$N$79)^(Planner!$D$71:$D$79))</f>
        <v/>
      </c>
      <c r="H26" s="56">
        <f>(H25+E26-F26-G26)*(1+IF(C26&lt;Planner!C7,Planner!C19,Planner!C20))</f>
        <v/>
      </c>
      <c r="I26" s="54">
        <f>IF(ROUND(H26,0)&lt;0,1,0)</f>
        <v/>
      </c>
    </row>
    <row r="27">
      <c r="B27" s="54" t="n">
        <v>21</v>
      </c>
      <c r="C27" s="54">
        <f>Planner!C6+21</f>
        <v/>
      </c>
      <c r="D27" s="55">
        <f>IF(C27&lt;Planner!C7,"Working","Retired")</f>
        <v/>
      </c>
      <c r="E27" s="56">
        <f>IF(AND(C27&lt;Planner!C7,C27&lt;'Start here'!$M$6),'Start here'!$M$9*12*(1+Planner!C24)^21,0)</f>
        <v/>
      </c>
      <c r="F27" s="56">
        <f>IF(C27&lt;Planner!C7,0,MAX(0,(Planner!E49*(1+Planner!C24)^21+IF(C27&lt;=Planner!M25,Planner!E50*(1+Planner!C25)^21,Planner!E50*(1+Planner!C25)^Planner!E25*(1+Planner!C24)^(21-Planner!E25))+IF(C27&lt;=Planner!M26,Planner!E51*(1+Planner!C26)^21,0)+SUMPRODUCT((Planner!$D$41:$D$45&gt;21)*Planner!$C$41:$C$45*12))-(IF(AND(C27&gt;=Planner!C7,C27&lt;='Start here'!$M$8),'Start here'!$M$7*(1+Planner!C24)^21,0)))/(1-Planner!C9))</f>
        <v/>
      </c>
      <c r="G27" s="56">
        <f>SUMPRODUCT((Planner!$D$71:$D$79=21)*Planner!$C$71:$C$79*(1+Planner!$N$71:$N$79)^(Planner!$D$71:$D$79))</f>
        <v/>
      </c>
      <c r="H27" s="56">
        <f>(H26+E27-F27-G27)*(1+IF(C27&lt;Planner!C7,Planner!C19,Planner!C20))</f>
        <v/>
      </c>
      <c r="I27" s="54">
        <f>IF(ROUND(H27,0)&lt;0,1,0)</f>
        <v/>
      </c>
    </row>
    <row r="28">
      <c r="B28" s="54" t="n">
        <v>22</v>
      </c>
      <c r="C28" s="54">
        <f>Planner!C6+22</f>
        <v/>
      </c>
      <c r="D28" s="55">
        <f>IF(C28&lt;Planner!C7,"Working","Retired")</f>
        <v/>
      </c>
      <c r="E28" s="56">
        <f>IF(AND(C28&lt;Planner!C7,C28&lt;'Start here'!$M$6),'Start here'!$M$9*12*(1+Planner!C24)^22,0)</f>
        <v/>
      </c>
      <c r="F28" s="56">
        <f>IF(C28&lt;Planner!C7,0,MAX(0,(Planner!E49*(1+Planner!C24)^22+IF(C28&lt;=Planner!M25,Planner!E50*(1+Planner!C25)^22,Planner!E50*(1+Planner!C25)^Planner!E25*(1+Planner!C24)^(22-Planner!E25))+IF(C28&lt;=Planner!M26,Planner!E51*(1+Planner!C26)^22,0)+SUMPRODUCT((Planner!$D$41:$D$45&gt;22)*Planner!$C$41:$C$45*12))-(IF(AND(C28&gt;=Planner!C7,C28&lt;='Start here'!$M$8),'Start here'!$M$7*(1+Planner!C24)^22,0)))/(1-Planner!C9))</f>
        <v/>
      </c>
      <c r="G28" s="56">
        <f>SUMPRODUCT((Planner!$D$71:$D$79=22)*Planner!$C$71:$C$79*(1+Planner!$N$71:$N$79)^(Planner!$D$71:$D$79))</f>
        <v/>
      </c>
      <c r="H28" s="56">
        <f>(H27+E28-F28-G28)*(1+IF(C28&lt;Planner!C7,Planner!C19,Planner!C20))</f>
        <v/>
      </c>
      <c r="I28" s="54">
        <f>IF(ROUND(H28,0)&lt;0,1,0)</f>
        <v/>
      </c>
    </row>
    <row r="29">
      <c r="B29" s="54" t="n">
        <v>23</v>
      </c>
      <c r="C29" s="54">
        <f>Planner!C6+23</f>
        <v/>
      </c>
      <c r="D29" s="55">
        <f>IF(C29&lt;Planner!C7,"Working","Retired")</f>
        <v/>
      </c>
      <c r="E29" s="56">
        <f>IF(AND(C29&lt;Planner!C7,C29&lt;'Start here'!$M$6),'Start here'!$M$9*12*(1+Planner!C24)^23,0)</f>
        <v/>
      </c>
      <c r="F29" s="56">
        <f>IF(C29&lt;Planner!C7,0,MAX(0,(Planner!E49*(1+Planner!C24)^23+IF(C29&lt;=Planner!M25,Planner!E50*(1+Planner!C25)^23,Planner!E50*(1+Planner!C25)^Planner!E25*(1+Planner!C24)^(23-Planner!E25))+IF(C29&lt;=Planner!M26,Planner!E51*(1+Planner!C26)^23,0)+SUMPRODUCT((Planner!$D$41:$D$45&gt;23)*Planner!$C$41:$C$45*12))-(IF(AND(C29&gt;=Planner!C7,C29&lt;='Start here'!$M$8),'Start here'!$M$7*(1+Planner!C24)^23,0)))/(1-Planner!C9))</f>
        <v/>
      </c>
      <c r="G29" s="56">
        <f>SUMPRODUCT((Planner!$D$71:$D$79=23)*Planner!$C$71:$C$79*(1+Planner!$N$71:$N$79)^(Planner!$D$71:$D$79))</f>
        <v/>
      </c>
      <c r="H29" s="56">
        <f>(H28+E29-F29-G29)*(1+IF(C29&lt;Planner!C7,Planner!C19,Planner!C20))</f>
        <v/>
      </c>
      <c r="I29" s="54">
        <f>IF(ROUND(H29,0)&lt;0,1,0)</f>
        <v/>
      </c>
    </row>
    <row r="30">
      <c r="B30" s="54" t="n">
        <v>24</v>
      </c>
      <c r="C30" s="54">
        <f>Planner!C6+24</f>
        <v/>
      </c>
      <c r="D30" s="55">
        <f>IF(C30&lt;Planner!C7,"Working","Retired")</f>
        <v/>
      </c>
      <c r="E30" s="56">
        <f>IF(AND(C30&lt;Planner!C7,C30&lt;'Start here'!$M$6),'Start here'!$M$9*12*(1+Planner!C24)^24,0)</f>
        <v/>
      </c>
      <c r="F30" s="56">
        <f>IF(C30&lt;Planner!C7,0,MAX(0,(Planner!E49*(1+Planner!C24)^24+IF(C30&lt;=Planner!M25,Planner!E50*(1+Planner!C25)^24,Planner!E50*(1+Planner!C25)^Planner!E25*(1+Planner!C24)^(24-Planner!E25))+IF(C30&lt;=Planner!M26,Planner!E51*(1+Planner!C26)^24,0)+SUMPRODUCT((Planner!$D$41:$D$45&gt;24)*Planner!$C$41:$C$45*12))-(IF(AND(C30&gt;=Planner!C7,C30&lt;='Start here'!$M$8),'Start here'!$M$7*(1+Planner!C24)^24,0)))/(1-Planner!C9))</f>
        <v/>
      </c>
      <c r="G30" s="56">
        <f>SUMPRODUCT((Planner!$D$71:$D$79=24)*Planner!$C$71:$C$79*(1+Planner!$N$71:$N$79)^(Planner!$D$71:$D$79))</f>
        <v/>
      </c>
      <c r="H30" s="56">
        <f>(H29+E30-F30-G30)*(1+IF(C30&lt;Planner!C7,Planner!C19,Planner!C20))</f>
        <v/>
      </c>
      <c r="I30" s="54">
        <f>IF(ROUND(H30,0)&lt;0,1,0)</f>
        <v/>
      </c>
    </row>
    <row r="31">
      <c r="B31" s="54" t="n">
        <v>25</v>
      </c>
      <c r="C31" s="54">
        <f>Planner!C6+25</f>
        <v/>
      </c>
      <c r="D31" s="55">
        <f>IF(C31&lt;Planner!C7,"Working","Retired")</f>
        <v/>
      </c>
      <c r="E31" s="56">
        <f>IF(AND(C31&lt;Planner!C7,C31&lt;'Start here'!$M$6),'Start here'!$M$9*12*(1+Planner!C24)^25,0)</f>
        <v/>
      </c>
      <c r="F31" s="56">
        <f>IF(C31&lt;Planner!C7,0,MAX(0,(Planner!E49*(1+Planner!C24)^25+IF(C31&lt;=Planner!M25,Planner!E50*(1+Planner!C25)^25,Planner!E50*(1+Planner!C25)^Planner!E25*(1+Planner!C24)^(25-Planner!E25))+IF(C31&lt;=Planner!M26,Planner!E51*(1+Planner!C26)^25,0)+SUMPRODUCT((Planner!$D$41:$D$45&gt;25)*Planner!$C$41:$C$45*12))-(IF(AND(C31&gt;=Planner!C7,C31&lt;='Start here'!$M$8),'Start here'!$M$7*(1+Planner!C24)^25,0)))/(1-Planner!C9))</f>
        <v/>
      </c>
      <c r="G31" s="56">
        <f>SUMPRODUCT((Planner!$D$71:$D$79=25)*Planner!$C$71:$C$79*(1+Planner!$N$71:$N$79)^(Planner!$D$71:$D$79))</f>
        <v/>
      </c>
      <c r="H31" s="56">
        <f>(H30+E31-F31-G31)*(1+IF(C31&lt;Planner!C7,Planner!C19,Planner!C20))</f>
        <v/>
      </c>
      <c r="I31" s="54">
        <f>IF(ROUND(H31,0)&lt;0,1,0)</f>
        <v/>
      </c>
    </row>
    <row r="32">
      <c r="B32" s="54" t="n">
        <v>26</v>
      </c>
      <c r="C32" s="54">
        <f>Planner!C6+26</f>
        <v/>
      </c>
      <c r="D32" s="55">
        <f>IF(C32&lt;Planner!C7,"Working","Retired")</f>
        <v/>
      </c>
      <c r="E32" s="56">
        <f>IF(AND(C32&lt;Planner!C7,C32&lt;'Start here'!$M$6),'Start here'!$M$9*12*(1+Planner!C24)^26,0)</f>
        <v/>
      </c>
      <c r="F32" s="56">
        <f>IF(C32&lt;Planner!C7,0,MAX(0,(Planner!E49*(1+Planner!C24)^26+IF(C32&lt;=Planner!M25,Planner!E50*(1+Planner!C25)^26,Planner!E50*(1+Planner!C25)^Planner!E25*(1+Planner!C24)^(26-Planner!E25))+IF(C32&lt;=Planner!M26,Planner!E51*(1+Planner!C26)^26,0)+SUMPRODUCT((Planner!$D$41:$D$45&gt;26)*Planner!$C$41:$C$45*12))-(IF(AND(C32&gt;=Planner!C7,C32&lt;='Start here'!$M$8),'Start here'!$M$7*(1+Planner!C24)^26,0)))/(1-Planner!C9))</f>
        <v/>
      </c>
      <c r="G32" s="56">
        <f>SUMPRODUCT((Planner!$D$71:$D$79=26)*Planner!$C$71:$C$79*(1+Planner!$N$71:$N$79)^(Planner!$D$71:$D$79))</f>
        <v/>
      </c>
      <c r="H32" s="56">
        <f>(H31+E32-F32-G32)*(1+IF(C32&lt;Planner!C7,Planner!C19,Planner!C20))</f>
        <v/>
      </c>
      <c r="I32" s="54">
        <f>IF(ROUND(H32,0)&lt;0,1,0)</f>
        <v/>
      </c>
    </row>
    <row r="33">
      <c r="B33" s="54" t="n">
        <v>27</v>
      </c>
      <c r="C33" s="54">
        <f>Planner!C6+27</f>
        <v/>
      </c>
      <c r="D33" s="55">
        <f>IF(C33&lt;Planner!C7,"Working","Retired")</f>
        <v/>
      </c>
      <c r="E33" s="56">
        <f>IF(AND(C33&lt;Planner!C7,C33&lt;'Start here'!$M$6),'Start here'!$M$9*12*(1+Planner!C24)^27,0)</f>
        <v/>
      </c>
      <c r="F33" s="56">
        <f>IF(C33&lt;Planner!C7,0,MAX(0,(Planner!E49*(1+Planner!C24)^27+IF(C33&lt;=Planner!M25,Planner!E50*(1+Planner!C25)^27,Planner!E50*(1+Planner!C25)^Planner!E25*(1+Planner!C24)^(27-Planner!E25))+IF(C33&lt;=Planner!M26,Planner!E51*(1+Planner!C26)^27,0)+SUMPRODUCT((Planner!$D$41:$D$45&gt;27)*Planner!$C$41:$C$45*12))-(IF(AND(C33&gt;=Planner!C7,C33&lt;='Start here'!$M$8),'Start here'!$M$7*(1+Planner!C24)^27,0)))/(1-Planner!C9))</f>
        <v/>
      </c>
      <c r="G33" s="56">
        <f>SUMPRODUCT((Planner!$D$71:$D$79=27)*Planner!$C$71:$C$79*(1+Planner!$N$71:$N$79)^(Planner!$D$71:$D$79))</f>
        <v/>
      </c>
      <c r="H33" s="56">
        <f>(H32+E33-F33-G33)*(1+IF(C33&lt;Planner!C7,Planner!C19,Planner!C20))</f>
        <v/>
      </c>
      <c r="I33" s="54">
        <f>IF(ROUND(H33,0)&lt;0,1,0)</f>
        <v/>
      </c>
    </row>
    <row r="34">
      <c r="B34" s="54" t="n">
        <v>28</v>
      </c>
      <c r="C34" s="54">
        <f>Planner!C6+28</f>
        <v/>
      </c>
      <c r="D34" s="55">
        <f>IF(C34&lt;Planner!C7,"Working","Retired")</f>
        <v/>
      </c>
      <c r="E34" s="56">
        <f>IF(AND(C34&lt;Planner!C7,C34&lt;'Start here'!$M$6),'Start here'!$M$9*12*(1+Planner!C24)^28,0)</f>
        <v/>
      </c>
      <c r="F34" s="56">
        <f>IF(C34&lt;Planner!C7,0,MAX(0,(Planner!E49*(1+Planner!C24)^28+IF(C34&lt;=Planner!M25,Planner!E50*(1+Planner!C25)^28,Planner!E50*(1+Planner!C25)^Planner!E25*(1+Planner!C24)^(28-Planner!E25))+IF(C34&lt;=Planner!M26,Planner!E51*(1+Planner!C26)^28,0)+SUMPRODUCT((Planner!$D$41:$D$45&gt;28)*Planner!$C$41:$C$45*12))-(IF(AND(C34&gt;=Planner!C7,C34&lt;='Start here'!$M$8),'Start here'!$M$7*(1+Planner!C24)^28,0)))/(1-Planner!C9))</f>
        <v/>
      </c>
      <c r="G34" s="56">
        <f>SUMPRODUCT((Planner!$D$71:$D$79=28)*Planner!$C$71:$C$79*(1+Planner!$N$71:$N$79)^(Planner!$D$71:$D$79))</f>
        <v/>
      </c>
      <c r="H34" s="56">
        <f>(H33+E34-F34-G34)*(1+IF(C34&lt;Planner!C7,Planner!C19,Planner!C20))</f>
        <v/>
      </c>
      <c r="I34" s="54">
        <f>IF(ROUND(H34,0)&lt;0,1,0)</f>
        <v/>
      </c>
    </row>
    <row r="35">
      <c r="B35" s="54" t="n">
        <v>29</v>
      </c>
      <c r="C35" s="54">
        <f>Planner!C6+29</f>
        <v/>
      </c>
      <c r="D35" s="55">
        <f>IF(C35&lt;Planner!C7,"Working","Retired")</f>
        <v/>
      </c>
      <c r="E35" s="56">
        <f>IF(AND(C35&lt;Planner!C7,C35&lt;'Start here'!$M$6),'Start here'!$M$9*12*(1+Planner!C24)^29,0)</f>
        <v/>
      </c>
      <c r="F35" s="56">
        <f>IF(C35&lt;Planner!C7,0,MAX(0,(Planner!E49*(1+Planner!C24)^29+IF(C35&lt;=Planner!M25,Planner!E50*(1+Planner!C25)^29,Planner!E50*(1+Planner!C25)^Planner!E25*(1+Planner!C24)^(29-Planner!E25))+IF(C35&lt;=Planner!M26,Planner!E51*(1+Planner!C26)^29,0)+SUMPRODUCT((Planner!$D$41:$D$45&gt;29)*Planner!$C$41:$C$45*12))-(IF(AND(C35&gt;=Planner!C7,C35&lt;='Start here'!$M$8),'Start here'!$M$7*(1+Planner!C24)^29,0)))/(1-Planner!C9))</f>
        <v/>
      </c>
      <c r="G35" s="56">
        <f>SUMPRODUCT((Planner!$D$71:$D$79=29)*Planner!$C$71:$C$79*(1+Planner!$N$71:$N$79)^(Planner!$D$71:$D$79))</f>
        <v/>
      </c>
      <c r="H35" s="56">
        <f>(H34+E35-F35-G35)*(1+IF(C35&lt;Planner!C7,Planner!C19,Planner!C20))</f>
        <v/>
      </c>
      <c r="I35" s="54">
        <f>IF(ROUND(H35,0)&lt;0,1,0)</f>
        <v/>
      </c>
    </row>
    <row r="36">
      <c r="B36" s="54" t="n">
        <v>30</v>
      </c>
      <c r="C36" s="54">
        <f>Planner!C6+30</f>
        <v/>
      </c>
      <c r="D36" s="55">
        <f>IF(C36&lt;Planner!C7,"Working","Retired")</f>
        <v/>
      </c>
      <c r="E36" s="56">
        <f>IF(AND(C36&lt;Planner!C7,C36&lt;'Start here'!$M$6),'Start here'!$M$9*12*(1+Planner!C24)^30,0)</f>
        <v/>
      </c>
      <c r="F36" s="56">
        <f>IF(C36&lt;Planner!C7,0,MAX(0,(Planner!E49*(1+Planner!C24)^30+IF(C36&lt;=Planner!M25,Planner!E50*(1+Planner!C25)^30,Planner!E50*(1+Planner!C25)^Planner!E25*(1+Planner!C24)^(30-Planner!E25))+IF(C36&lt;=Planner!M26,Planner!E51*(1+Planner!C26)^30,0)+SUMPRODUCT((Planner!$D$41:$D$45&gt;30)*Planner!$C$41:$C$45*12))-(IF(AND(C36&gt;=Planner!C7,C36&lt;='Start here'!$M$8),'Start here'!$M$7*(1+Planner!C24)^30,0)))/(1-Planner!C9))</f>
        <v/>
      </c>
      <c r="G36" s="56">
        <f>SUMPRODUCT((Planner!$D$71:$D$79=30)*Planner!$C$71:$C$79*(1+Planner!$N$71:$N$79)^(Planner!$D$71:$D$79))</f>
        <v/>
      </c>
      <c r="H36" s="56">
        <f>(H35+E36-F36-G36)*(1+IF(C36&lt;Planner!C7,Planner!C19,Planner!C20))</f>
        <v/>
      </c>
      <c r="I36" s="54">
        <f>IF(ROUND(H36,0)&lt;0,1,0)</f>
        <v/>
      </c>
    </row>
    <row r="37">
      <c r="B37" s="54" t="n">
        <v>31</v>
      </c>
      <c r="C37" s="54">
        <f>Planner!C6+31</f>
        <v/>
      </c>
      <c r="D37" s="55">
        <f>IF(C37&lt;Planner!C7,"Working","Retired")</f>
        <v/>
      </c>
      <c r="E37" s="56">
        <f>IF(AND(C37&lt;Planner!C7,C37&lt;'Start here'!$M$6),'Start here'!$M$9*12*(1+Planner!C24)^31,0)</f>
        <v/>
      </c>
      <c r="F37" s="56">
        <f>IF(C37&lt;Planner!C7,0,MAX(0,(Planner!E49*(1+Planner!C24)^31+IF(C37&lt;=Planner!M25,Planner!E50*(1+Planner!C25)^31,Planner!E50*(1+Planner!C25)^Planner!E25*(1+Planner!C24)^(31-Planner!E25))+IF(C37&lt;=Planner!M26,Planner!E51*(1+Planner!C26)^31,0)+SUMPRODUCT((Planner!$D$41:$D$45&gt;31)*Planner!$C$41:$C$45*12))-(IF(AND(C37&gt;=Planner!C7,C37&lt;='Start here'!$M$8),'Start here'!$M$7*(1+Planner!C24)^31,0)))/(1-Planner!C9))</f>
        <v/>
      </c>
      <c r="G37" s="56">
        <f>SUMPRODUCT((Planner!$D$71:$D$79=31)*Planner!$C$71:$C$79*(1+Planner!$N$71:$N$79)^(Planner!$D$71:$D$79))</f>
        <v/>
      </c>
      <c r="H37" s="56">
        <f>(H36+E37-F37-G37)*(1+IF(C37&lt;Planner!C7,Planner!C19,Planner!C20))</f>
        <v/>
      </c>
      <c r="I37" s="54">
        <f>IF(ROUND(H37,0)&lt;0,1,0)</f>
        <v/>
      </c>
    </row>
    <row r="38">
      <c r="B38" s="54" t="n">
        <v>32</v>
      </c>
      <c r="C38" s="54">
        <f>Planner!C6+32</f>
        <v/>
      </c>
      <c r="D38" s="55">
        <f>IF(C38&lt;Planner!C7,"Working","Retired")</f>
        <v/>
      </c>
      <c r="E38" s="56">
        <f>IF(AND(C38&lt;Planner!C7,C38&lt;'Start here'!$M$6),'Start here'!$M$9*12*(1+Planner!C24)^32,0)</f>
        <v/>
      </c>
      <c r="F38" s="56">
        <f>IF(C38&lt;Planner!C7,0,MAX(0,(Planner!E49*(1+Planner!C24)^32+IF(C38&lt;=Planner!M25,Planner!E50*(1+Planner!C25)^32,Planner!E50*(1+Planner!C25)^Planner!E25*(1+Planner!C24)^(32-Planner!E25))+IF(C38&lt;=Planner!M26,Planner!E51*(1+Planner!C26)^32,0)+SUMPRODUCT((Planner!$D$41:$D$45&gt;32)*Planner!$C$41:$C$45*12))-(IF(AND(C38&gt;=Planner!C7,C38&lt;='Start here'!$M$8),'Start here'!$M$7*(1+Planner!C24)^32,0)))/(1-Planner!C9))</f>
        <v/>
      </c>
      <c r="G38" s="56">
        <f>SUMPRODUCT((Planner!$D$71:$D$79=32)*Planner!$C$71:$C$79*(1+Planner!$N$71:$N$79)^(Planner!$D$71:$D$79))</f>
        <v/>
      </c>
      <c r="H38" s="56">
        <f>(H37+E38-F38-G38)*(1+IF(C38&lt;Planner!C7,Planner!C19,Planner!C20))</f>
        <v/>
      </c>
      <c r="I38" s="54">
        <f>IF(ROUND(H38,0)&lt;0,1,0)</f>
        <v/>
      </c>
    </row>
    <row r="39">
      <c r="B39" s="54" t="n">
        <v>33</v>
      </c>
      <c r="C39" s="54">
        <f>Planner!C6+33</f>
        <v/>
      </c>
      <c r="D39" s="55">
        <f>IF(C39&lt;Planner!C7,"Working","Retired")</f>
        <v/>
      </c>
      <c r="E39" s="56">
        <f>IF(AND(C39&lt;Planner!C7,C39&lt;'Start here'!$M$6),'Start here'!$M$9*12*(1+Planner!C24)^33,0)</f>
        <v/>
      </c>
      <c r="F39" s="56">
        <f>IF(C39&lt;Planner!C7,0,MAX(0,(Planner!E49*(1+Planner!C24)^33+IF(C39&lt;=Planner!M25,Planner!E50*(1+Planner!C25)^33,Planner!E50*(1+Planner!C25)^Planner!E25*(1+Planner!C24)^(33-Planner!E25))+IF(C39&lt;=Planner!M26,Planner!E51*(1+Planner!C26)^33,0)+SUMPRODUCT((Planner!$D$41:$D$45&gt;33)*Planner!$C$41:$C$45*12))-(IF(AND(C39&gt;=Planner!C7,C39&lt;='Start here'!$M$8),'Start here'!$M$7*(1+Planner!C24)^33,0)))/(1-Planner!C9))</f>
        <v/>
      </c>
      <c r="G39" s="56">
        <f>SUMPRODUCT((Planner!$D$71:$D$79=33)*Planner!$C$71:$C$79*(1+Planner!$N$71:$N$79)^(Planner!$D$71:$D$79))</f>
        <v/>
      </c>
      <c r="H39" s="56">
        <f>(H38+E39-F39-G39)*(1+IF(C39&lt;Planner!C7,Planner!C19,Planner!C20))</f>
        <v/>
      </c>
      <c r="I39" s="54">
        <f>IF(ROUND(H39,0)&lt;0,1,0)</f>
        <v/>
      </c>
    </row>
    <row r="40">
      <c r="B40" s="54" t="n">
        <v>34</v>
      </c>
      <c r="C40" s="54">
        <f>Planner!C6+34</f>
        <v/>
      </c>
      <c r="D40" s="55">
        <f>IF(C40&lt;Planner!C7,"Working","Retired")</f>
        <v/>
      </c>
      <c r="E40" s="56">
        <f>IF(AND(C40&lt;Planner!C7,C40&lt;'Start here'!$M$6),'Start here'!$M$9*12*(1+Planner!C24)^34,0)</f>
        <v/>
      </c>
      <c r="F40" s="56">
        <f>IF(C40&lt;Planner!C7,0,MAX(0,(Planner!E49*(1+Planner!C24)^34+IF(C40&lt;=Planner!M25,Planner!E50*(1+Planner!C25)^34,Planner!E50*(1+Planner!C25)^Planner!E25*(1+Planner!C24)^(34-Planner!E25))+IF(C40&lt;=Planner!M26,Planner!E51*(1+Planner!C26)^34,0)+SUMPRODUCT((Planner!$D$41:$D$45&gt;34)*Planner!$C$41:$C$45*12))-(IF(AND(C40&gt;=Planner!C7,C40&lt;='Start here'!$M$8),'Start here'!$M$7*(1+Planner!C24)^34,0)))/(1-Planner!C9))</f>
        <v/>
      </c>
      <c r="G40" s="56">
        <f>SUMPRODUCT((Planner!$D$71:$D$79=34)*Planner!$C$71:$C$79*(1+Planner!$N$71:$N$79)^(Planner!$D$71:$D$79))</f>
        <v/>
      </c>
      <c r="H40" s="56">
        <f>(H39+E40-F40-G40)*(1+IF(C40&lt;Planner!C7,Planner!C19,Planner!C20))</f>
        <v/>
      </c>
      <c r="I40" s="54">
        <f>IF(ROUND(H40,0)&lt;0,1,0)</f>
        <v/>
      </c>
    </row>
    <row r="41">
      <c r="B41" s="54" t="n">
        <v>35</v>
      </c>
      <c r="C41" s="54">
        <f>Planner!C6+35</f>
        <v/>
      </c>
      <c r="D41" s="55">
        <f>IF(C41&lt;Planner!C7,"Working","Retired")</f>
        <v/>
      </c>
      <c r="E41" s="56">
        <f>IF(AND(C41&lt;Planner!C7,C41&lt;'Start here'!$M$6),'Start here'!$M$9*12*(1+Planner!C24)^35,0)</f>
        <v/>
      </c>
      <c r="F41" s="56">
        <f>IF(C41&lt;Planner!C7,0,MAX(0,(Planner!E49*(1+Planner!C24)^35+IF(C41&lt;=Planner!M25,Planner!E50*(1+Planner!C25)^35,Planner!E50*(1+Planner!C25)^Planner!E25*(1+Planner!C24)^(35-Planner!E25))+IF(C41&lt;=Planner!M26,Planner!E51*(1+Planner!C26)^35,0)+SUMPRODUCT((Planner!$D$41:$D$45&gt;35)*Planner!$C$41:$C$45*12))-(IF(AND(C41&gt;=Planner!C7,C41&lt;='Start here'!$M$8),'Start here'!$M$7*(1+Planner!C24)^35,0)))/(1-Planner!C9))</f>
        <v/>
      </c>
      <c r="G41" s="56">
        <f>SUMPRODUCT((Planner!$D$71:$D$79=35)*Planner!$C$71:$C$79*(1+Planner!$N$71:$N$79)^(Planner!$D$71:$D$79))</f>
        <v/>
      </c>
      <c r="H41" s="56">
        <f>(H40+E41-F41-G41)*(1+IF(C41&lt;Planner!C7,Planner!C19,Planner!C20))</f>
        <v/>
      </c>
      <c r="I41" s="54">
        <f>IF(ROUND(H41,0)&lt;0,1,0)</f>
        <v/>
      </c>
    </row>
    <row r="42">
      <c r="B42" s="54" t="n">
        <v>36</v>
      </c>
      <c r="C42" s="54">
        <f>Planner!C6+36</f>
        <v/>
      </c>
      <c r="D42" s="55">
        <f>IF(C42&lt;Planner!C7,"Working","Retired")</f>
        <v/>
      </c>
      <c r="E42" s="56">
        <f>IF(AND(C42&lt;Planner!C7,C42&lt;'Start here'!$M$6),'Start here'!$M$9*12*(1+Planner!C24)^36,0)</f>
        <v/>
      </c>
      <c r="F42" s="56">
        <f>IF(C42&lt;Planner!C7,0,MAX(0,(Planner!E49*(1+Planner!C24)^36+IF(C42&lt;=Planner!M25,Planner!E50*(1+Planner!C25)^36,Planner!E50*(1+Planner!C25)^Planner!E25*(1+Planner!C24)^(36-Planner!E25))+IF(C42&lt;=Planner!M26,Planner!E51*(1+Planner!C26)^36,0)+SUMPRODUCT((Planner!$D$41:$D$45&gt;36)*Planner!$C$41:$C$45*12))-(IF(AND(C42&gt;=Planner!C7,C42&lt;='Start here'!$M$8),'Start here'!$M$7*(1+Planner!C24)^36,0)))/(1-Planner!C9))</f>
        <v/>
      </c>
      <c r="G42" s="56">
        <f>SUMPRODUCT((Planner!$D$71:$D$79=36)*Planner!$C$71:$C$79*(1+Planner!$N$71:$N$79)^(Planner!$D$71:$D$79))</f>
        <v/>
      </c>
      <c r="H42" s="56">
        <f>(H41+E42-F42-G42)*(1+IF(C42&lt;Planner!C7,Planner!C19,Planner!C20))</f>
        <v/>
      </c>
      <c r="I42" s="54">
        <f>IF(ROUND(H42,0)&lt;0,1,0)</f>
        <v/>
      </c>
    </row>
    <row r="43">
      <c r="B43" s="54" t="n">
        <v>37</v>
      </c>
      <c r="C43" s="54">
        <f>Planner!C6+37</f>
        <v/>
      </c>
      <c r="D43" s="55">
        <f>IF(C43&lt;Planner!C7,"Working","Retired")</f>
        <v/>
      </c>
      <c r="E43" s="56">
        <f>IF(AND(C43&lt;Planner!C7,C43&lt;'Start here'!$M$6),'Start here'!$M$9*12*(1+Planner!C24)^37,0)</f>
        <v/>
      </c>
      <c r="F43" s="56">
        <f>IF(C43&lt;Planner!C7,0,MAX(0,(Planner!E49*(1+Planner!C24)^37+IF(C43&lt;=Planner!M25,Planner!E50*(1+Planner!C25)^37,Planner!E50*(1+Planner!C25)^Planner!E25*(1+Planner!C24)^(37-Planner!E25))+IF(C43&lt;=Planner!M26,Planner!E51*(1+Planner!C26)^37,0)+SUMPRODUCT((Planner!$D$41:$D$45&gt;37)*Planner!$C$41:$C$45*12))-(IF(AND(C43&gt;=Planner!C7,C43&lt;='Start here'!$M$8),'Start here'!$M$7*(1+Planner!C24)^37,0)))/(1-Planner!C9))</f>
        <v/>
      </c>
      <c r="G43" s="56">
        <f>SUMPRODUCT((Planner!$D$71:$D$79=37)*Planner!$C$71:$C$79*(1+Planner!$N$71:$N$79)^(Planner!$D$71:$D$79))</f>
        <v/>
      </c>
      <c r="H43" s="56">
        <f>(H42+E43-F43-G43)*(1+IF(C43&lt;Planner!C7,Planner!C19,Planner!C20))</f>
        <v/>
      </c>
      <c r="I43" s="54">
        <f>IF(ROUND(H43,0)&lt;0,1,0)</f>
        <v/>
      </c>
    </row>
    <row r="44">
      <c r="B44" s="54" t="n">
        <v>38</v>
      </c>
      <c r="C44" s="54">
        <f>Planner!C6+38</f>
        <v/>
      </c>
      <c r="D44" s="55">
        <f>IF(C44&lt;Planner!C7,"Working","Retired")</f>
        <v/>
      </c>
      <c r="E44" s="56">
        <f>IF(AND(C44&lt;Planner!C7,C44&lt;'Start here'!$M$6),'Start here'!$M$9*12*(1+Planner!C24)^38,0)</f>
        <v/>
      </c>
      <c r="F44" s="56">
        <f>IF(C44&lt;Planner!C7,0,MAX(0,(Planner!E49*(1+Planner!C24)^38+IF(C44&lt;=Planner!M25,Planner!E50*(1+Planner!C25)^38,Planner!E50*(1+Planner!C25)^Planner!E25*(1+Planner!C24)^(38-Planner!E25))+IF(C44&lt;=Planner!M26,Planner!E51*(1+Planner!C26)^38,0)+SUMPRODUCT((Planner!$D$41:$D$45&gt;38)*Planner!$C$41:$C$45*12))-(IF(AND(C44&gt;=Planner!C7,C44&lt;='Start here'!$M$8),'Start here'!$M$7*(1+Planner!C24)^38,0)))/(1-Planner!C9))</f>
        <v/>
      </c>
      <c r="G44" s="56">
        <f>SUMPRODUCT((Planner!$D$71:$D$79=38)*Planner!$C$71:$C$79*(1+Planner!$N$71:$N$79)^(Planner!$D$71:$D$79))</f>
        <v/>
      </c>
      <c r="H44" s="56">
        <f>(H43+E44-F44-G44)*(1+IF(C44&lt;Planner!C7,Planner!C19,Planner!C20))</f>
        <v/>
      </c>
      <c r="I44" s="54">
        <f>IF(ROUND(H44,0)&lt;0,1,0)</f>
        <v/>
      </c>
    </row>
    <row r="45">
      <c r="B45" s="54" t="n">
        <v>39</v>
      </c>
      <c r="C45" s="54">
        <f>Planner!C6+39</f>
        <v/>
      </c>
      <c r="D45" s="55">
        <f>IF(C45&lt;Planner!C7,"Working","Retired")</f>
        <v/>
      </c>
      <c r="E45" s="56">
        <f>IF(AND(C45&lt;Planner!C7,C45&lt;'Start here'!$M$6),'Start here'!$M$9*12*(1+Planner!C24)^39,0)</f>
        <v/>
      </c>
      <c r="F45" s="56">
        <f>IF(C45&lt;Planner!C7,0,MAX(0,(Planner!E49*(1+Planner!C24)^39+IF(C45&lt;=Planner!M25,Planner!E50*(1+Planner!C25)^39,Planner!E50*(1+Planner!C25)^Planner!E25*(1+Planner!C24)^(39-Planner!E25))+IF(C45&lt;=Planner!M26,Planner!E51*(1+Planner!C26)^39,0)+SUMPRODUCT((Planner!$D$41:$D$45&gt;39)*Planner!$C$41:$C$45*12))-(IF(AND(C45&gt;=Planner!C7,C45&lt;='Start here'!$M$8),'Start here'!$M$7*(1+Planner!C24)^39,0)))/(1-Planner!C9))</f>
        <v/>
      </c>
      <c r="G45" s="56">
        <f>SUMPRODUCT((Planner!$D$71:$D$79=39)*Planner!$C$71:$C$79*(1+Planner!$N$71:$N$79)^(Planner!$D$71:$D$79))</f>
        <v/>
      </c>
      <c r="H45" s="56">
        <f>(H44+E45-F45-G45)*(1+IF(C45&lt;Planner!C7,Planner!C19,Planner!C20))</f>
        <v/>
      </c>
      <c r="I45" s="54">
        <f>IF(ROUND(H45,0)&lt;0,1,0)</f>
        <v/>
      </c>
    </row>
    <row r="46">
      <c r="B46" s="54" t="n">
        <v>40</v>
      </c>
      <c r="C46" s="54">
        <f>Planner!C6+40</f>
        <v/>
      </c>
      <c r="D46" s="55">
        <f>IF(C46&lt;Planner!C7,"Working","Retired")</f>
        <v/>
      </c>
      <c r="E46" s="56">
        <f>IF(AND(C46&lt;Planner!C7,C46&lt;'Start here'!$M$6),'Start here'!$M$9*12*(1+Planner!C24)^40,0)</f>
        <v/>
      </c>
      <c r="F46" s="56">
        <f>IF(C46&lt;Planner!C7,0,MAX(0,(Planner!E49*(1+Planner!C24)^40+IF(C46&lt;=Planner!M25,Planner!E50*(1+Planner!C25)^40,Planner!E50*(1+Planner!C25)^Planner!E25*(1+Planner!C24)^(40-Planner!E25))+IF(C46&lt;=Planner!M26,Planner!E51*(1+Planner!C26)^40,0)+SUMPRODUCT((Planner!$D$41:$D$45&gt;40)*Planner!$C$41:$C$45*12))-(IF(AND(C46&gt;=Planner!C7,C46&lt;='Start here'!$M$8),'Start here'!$M$7*(1+Planner!C24)^40,0)))/(1-Planner!C9))</f>
        <v/>
      </c>
      <c r="G46" s="56">
        <f>SUMPRODUCT((Planner!$D$71:$D$79=40)*Planner!$C$71:$C$79*(1+Planner!$N$71:$N$79)^(Planner!$D$71:$D$79))</f>
        <v/>
      </c>
      <c r="H46" s="56">
        <f>(H45+E46-F46-G46)*(1+IF(C46&lt;Planner!C7,Planner!C19,Planner!C20))</f>
        <v/>
      </c>
      <c r="I46" s="54">
        <f>IF(ROUND(H46,0)&lt;0,1,0)</f>
        <v/>
      </c>
    </row>
    <row r="47">
      <c r="B47" s="54" t="n">
        <v>41</v>
      </c>
      <c r="C47" s="54">
        <f>Planner!C6+41</f>
        <v/>
      </c>
      <c r="D47" s="55">
        <f>IF(C47&lt;Planner!C7,"Working","Retired")</f>
        <v/>
      </c>
      <c r="E47" s="56">
        <f>IF(AND(C47&lt;Planner!C7,C47&lt;'Start here'!$M$6),'Start here'!$M$9*12*(1+Planner!C24)^41,0)</f>
        <v/>
      </c>
      <c r="F47" s="56">
        <f>IF(C47&lt;Planner!C7,0,MAX(0,(Planner!E49*(1+Planner!C24)^41+IF(C47&lt;=Planner!M25,Planner!E50*(1+Planner!C25)^41,Planner!E50*(1+Planner!C25)^Planner!E25*(1+Planner!C24)^(41-Planner!E25))+IF(C47&lt;=Planner!M26,Planner!E51*(1+Planner!C26)^41,0)+SUMPRODUCT((Planner!$D$41:$D$45&gt;41)*Planner!$C$41:$C$45*12))-(IF(AND(C47&gt;=Planner!C7,C47&lt;='Start here'!$M$8),'Start here'!$M$7*(1+Planner!C24)^41,0)))/(1-Planner!C9))</f>
        <v/>
      </c>
      <c r="G47" s="56">
        <f>SUMPRODUCT((Planner!$D$71:$D$79=41)*Planner!$C$71:$C$79*(1+Planner!$N$71:$N$79)^(Planner!$D$71:$D$79))</f>
        <v/>
      </c>
      <c r="H47" s="56">
        <f>(H46+E47-F47-G47)*(1+IF(C47&lt;Planner!C7,Planner!C19,Planner!C20))</f>
        <v/>
      </c>
      <c r="I47" s="54">
        <f>IF(ROUND(H47,0)&lt;0,1,0)</f>
        <v/>
      </c>
    </row>
    <row r="48">
      <c r="B48" s="54" t="n">
        <v>42</v>
      </c>
      <c r="C48" s="54">
        <f>Planner!C6+42</f>
        <v/>
      </c>
      <c r="D48" s="55">
        <f>IF(C48&lt;Planner!C7,"Working","Retired")</f>
        <v/>
      </c>
      <c r="E48" s="56">
        <f>IF(AND(C48&lt;Planner!C7,C48&lt;'Start here'!$M$6),'Start here'!$M$9*12*(1+Planner!C24)^42,0)</f>
        <v/>
      </c>
      <c r="F48" s="56">
        <f>IF(C48&lt;Planner!C7,0,MAX(0,(Planner!E49*(1+Planner!C24)^42+IF(C48&lt;=Planner!M25,Planner!E50*(1+Planner!C25)^42,Planner!E50*(1+Planner!C25)^Planner!E25*(1+Planner!C24)^(42-Planner!E25))+IF(C48&lt;=Planner!M26,Planner!E51*(1+Planner!C26)^42,0)+SUMPRODUCT((Planner!$D$41:$D$45&gt;42)*Planner!$C$41:$C$45*12))-(IF(AND(C48&gt;=Planner!C7,C48&lt;='Start here'!$M$8),'Start here'!$M$7*(1+Planner!C24)^42,0)))/(1-Planner!C9))</f>
        <v/>
      </c>
      <c r="G48" s="56">
        <f>SUMPRODUCT((Planner!$D$71:$D$79=42)*Planner!$C$71:$C$79*(1+Planner!$N$71:$N$79)^(Planner!$D$71:$D$79))</f>
        <v/>
      </c>
      <c r="H48" s="56">
        <f>(H47+E48-F48-G48)*(1+IF(C48&lt;Planner!C7,Planner!C19,Planner!C20))</f>
        <v/>
      </c>
      <c r="I48" s="54">
        <f>IF(ROUND(H48,0)&lt;0,1,0)</f>
        <v/>
      </c>
    </row>
    <row r="49">
      <c r="B49" s="54" t="n">
        <v>43</v>
      </c>
      <c r="C49" s="54">
        <f>Planner!C6+43</f>
        <v/>
      </c>
      <c r="D49" s="55">
        <f>IF(C49&lt;Planner!C7,"Working","Retired")</f>
        <v/>
      </c>
      <c r="E49" s="56">
        <f>IF(AND(C49&lt;Planner!C7,C49&lt;'Start here'!$M$6),'Start here'!$M$9*12*(1+Planner!C24)^43,0)</f>
        <v/>
      </c>
      <c r="F49" s="56">
        <f>IF(C49&lt;Planner!C7,0,MAX(0,(Planner!E49*(1+Planner!C24)^43+IF(C49&lt;=Planner!M25,Planner!E50*(1+Planner!C25)^43,Planner!E50*(1+Planner!C25)^Planner!E25*(1+Planner!C24)^(43-Planner!E25))+IF(C49&lt;=Planner!M26,Planner!E51*(1+Planner!C26)^43,0)+SUMPRODUCT((Planner!$D$41:$D$45&gt;43)*Planner!$C$41:$C$45*12))-(IF(AND(C49&gt;=Planner!C7,C49&lt;='Start here'!$M$8),'Start here'!$M$7*(1+Planner!C24)^43,0)))/(1-Planner!C9))</f>
        <v/>
      </c>
      <c r="G49" s="56">
        <f>SUMPRODUCT((Planner!$D$71:$D$79=43)*Planner!$C$71:$C$79*(1+Planner!$N$71:$N$79)^(Planner!$D$71:$D$79))</f>
        <v/>
      </c>
      <c r="H49" s="56">
        <f>(H48+E49-F49-G49)*(1+IF(C49&lt;Planner!C7,Planner!C19,Planner!C20))</f>
        <v/>
      </c>
      <c r="I49" s="54">
        <f>IF(ROUND(H49,0)&lt;0,1,0)</f>
        <v/>
      </c>
    </row>
    <row r="50">
      <c r="B50" s="54" t="n">
        <v>44</v>
      </c>
      <c r="C50" s="54">
        <f>Planner!C6+44</f>
        <v/>
      </c>
      <c r="D50" s="55">
        <f>IF(C50&lt;Planner!C7,"Working","Retired")</f>
        <v/>
      </c>
      <c r="E50" s="56">
        <f>IF(AND(C50&lt;Planner!C7,C50&lt;'Start here'!$M$6),'Start here'!$M$9*12*(1+Planner!C24)^44,0)</f>
        <v/>
      </c>
      <c r="F50" s="56">
        <f>IF(C50&lt;Planner!C7,0,MAX(0,(Planner!E49*(1+Planner!C24)^44+IF(C50&lt;=Planner!M25,Planner!E50*(1+Planner!C25)^44,Planner!E50*(1+Planner!C25)^Planner!E25*(1+Planner!C24)^(44-Planner!E25))+IF(C50&lt;=Planner!M26,Planner!E51*(1+Planner!C26)^44,0)+SUMPRODUCT((Planner!$D$41:$D$45&gt;44)*Planner!$C$41:$C$45*12))-(IF(AND(C50&gt;=Planner!C7,C50&lt;='Start here'!$M$8),'Start here'!$M$7*(1+Planner!C24)^44,0)))/(1-Planner!C9))</f>
        <v/>
      </c>
      <c r="G50" s="56">
        <f>SUMPRODUCT((Planner!$D$71:$D$79=44)*Planner!$C$71:$C$79*(1+Planner!$N$71:$N$79)^(Planner!$D$71:$D$79))</f>
        <v/>
      </c>
      <c r="H50" s="56">
        <f>(H49+E50-F50-G50)*(1+IF(C50&lt;Planner!C7,Planner!C19,Planner!C20))</f>
        <v/>
      </c>
      <c r="I50" s="54">
        <f>IF(ROUND(H50,0)&lt;0,1,0)</f>
        <v/>
      </c>
    </row>
    <row r="51">
      <c r="B51" s="54" t="n">
        <v>45</v>
      </c>
      <c r="C51" s="54">
        <f>Planner!C6+45</f>
        <v/>
      </c>
      <c r="D51" s="55">
        <f>IF(C51&lt;Planner!C7,"Working","Retired")</f>
        <v/>
      </c>
      <c r="E51" s="56">
        <f>IF(AND(C51&lt;Planner!C7,C51&lt;'Start here'!$M$6),'Start here'!$M$9*12*(1+Planner!C24)^45,0)</f>
        <v/>
      </c>
      <c r="F51" s="56">
        <f>IF(C51&lt;Planner!C7,0,MAX(0,(Planner!E49*(1+Planner!C24)^45+IF(C51&lt;=Planner!M25,Planner!E50*(1+Planner!C25)^45,Planner!E50*(1+Planner!C25)^Planner!E25*(1+Planner!C24)^(45-Planner!E25))+IF(C51&lt;=Planner!M26,Planner!E51*(1+Planner!C26)^45,0)+SUMPRODUCT((Planner!$D$41:$D$45&gt;45)*Planner!$C$41:$C$45*12))-(IF(AND(C51&gt;=Planner!C7,C51&lt;='Start here'!$M$8),'Start here'!$M$7*(1+Planner!C24)^45,0)))/(1-Planner!C9))</f>
        <v/>
      </c>
      <c r="G51" s="56">
        <f>SUMPRODUCT((Planner!$D$71:$D$79=45)*Planner!$C$71:$C$79*(1+Planner!$N$71:$N$79)^(Planner!$D$71:$D$79))</f>
        <v/>
      </c>
      <c r="H51" s="56">
        <f>(H50+E51-F51-G51)*(1+IF(C51&lt;Planner!C7,Planner!C19,Planner!C20))</f>
        <v/>
      </c>
      <c r="I51" s="54">
        <f>IF(ROUND(H51,0)&lt;0,1,0)</f>
        <v/>
      </c>
    </row>
    <row r="52">
      <c r="B52" s="54" t="n">
        <v>46</v>
      </c>
      <c r="C52" s="54">
        <f>Planner!C6+46</f>
        <v/>
      </c>
      <c r="D52" s="55">
        <f>IF(C52&lt;Planner!C7,"Working","Retired")</f>
        <v/>
      </c>
      <c r="E52" s="56">
        <f>IF(AND(C52&lt;Planner!C7,C52&lt;'Start here'!$M$6),'Start here'!$M$9*12*(1+Planner!C24)^46,0)</f>
        <v/>
      </c>
      <c r="F52" s="56">
        <f>IF(C52&lt;Planner!C7,0,MAX(0,(Planner!E49*(1+Planner!C24)^46+IF(C52&lt;=Planner!M25,Planner!E50*(1+Planner!C25)^46,Planner!E50*(1+Planner!C25)^Planner!E25*(1+Planner!C24)^(46-Planner!E25))+IF(C52&lt;=Planner!M26,Planner!E51*(1+Planner!C26)^46,0)+SUMPRODUCT((Planner!$D$41:$D$45&gt;46)*Planner!$C$41:$C$45*12))-(IF(AND(C52&gt;=Planner!C7,C52&lt;='Start here'!$M$8),'Start here'!$M$7*(1+Planner!C24)^46,0)))/(1-Planner!C9))</f>
        <v/>
      </c>
      <c r="G52" s="56">
        <f>SUMPRODUCT((Planner!$D$71:$D$79=46)*Planner!$C$71:$C$79*(1+Planner!$N$71:$N$79)^(Planner!$D$71:$D$79))</f>
        <v/>
      </c>
      <c r="H52" s="56">
        <f>(H51+E52-F52-G52)*(1+IF(C52&lt;Planner!C7,Planner!C19,Planner!C20))</f>
        <v/>
      </c>
      <c r="I52" s="54">
        <f>IF(ROUND(H52,0)&lt;0,1,0)</f>
        <v/>
      </c>
    </row>
    <row r="53">
      <c r="B53" s="54" t="n">
        <v>47</v>
      </c>
      <c r="C53" s="54">
        <f>Planner!C6+47</f>
        <v/>
      </c>
      <c r="D53" s="55">
        <f>IF(C53&lt;Planner!C7,"Working","Retired")</f>
        <v/>
      </c>
      <c r="E53" s="56">
        <f>IF(AND(C53&lt;Planner!C7,C53&lt;'Start here'!$M$6),'Start here'!$M$9*12*(1+Planner!C24)^47,0)</f>
        <v/>
      </c>
      <c r="F53" s="56">
        <f>IF(C53&lt;Planner!C7,0,MAX(0,(Planner!E49*(1+Planner!C24)^47+IF(C53&lt;=Planner!M25,Planner!E50*(1+Planner!C25)^47,Planner!E50*(1+Planner!C25)^Planner!E25*(1+Planner!C24)^(47-Planner!E25))+IF(C53&lt;=Planner!M26,Planner!E51*(1+Planner!C26)^47,0)+SUMPRODUCT((Planner!$D$41:$D$45&gt;47)*Planner!$C$41:$C$45*12))-(IF(AND(C53&gt;=Planner!C7,C53&lt;='Start here'!$M$8),'Start here'!$M$7*(1+Planner!C24)^47,0)))/(1-Planner!C9))</f>
        <v/>
      </c>
      <c r="G53" s="56">
        <f>SUMPRODUCT((Planner!$D$71:$D$79=47)*Planner!$C$71:$C$79*(1+Planner!$N$71:$N$79)^(Planner!$D$71:$D$79))</f>
        <v/>
      </c>
      <c r="H53" s="56">
        <f>(H52+E53-F53-G53)*(1+IF(C53&lt;Planner!C7,Planner!C19,Planner!C20))</f>
        <v/>
      </c>
      <c r="I53" s="54">
        <f>IF(ROUND(H53,0)&lt;0,1,0)</f>
        <v/>
      </c>
    </row>
    <row r="54">
      <c r="B54" s="54" t="n">
        <v>48</v>
      </c>
      <c r="C54" s="54">
        <f>Planner!C6+48</f>
        <v/>
      </c>
      <c r="D54" s="55">
        <f>IF(C54&lt;Planner!C7,"Working","Retired")</f>
        <v/>
      </c>
      <c r="E54" s="56">
        <f>IF(AND(C54&lt;Planner!C7,C54&lt;'Start here'!$M$6),'Start here'!$M$9*12*(1+Planner!C24)^48,0)</f>
        <v/>
      </c>
      <c r="F54" s="56">
        <f>IF(C54&lt;Planner!C7,0,MAX(0,(Planner!E49*(1+Planner!C24)^48+IF(C54&lt;=Planner!M25,Planner!E50*(1+Planner!C25)^48,Planner!E50*(1+Planner!C25)^Planner!E25*(1+Planner!C24)^(48-Planner!E25))+IF(C54&lt;=Planner!M26,Planner!E51*(1+Planner!C26)^48,0)+SUMPRODUCT((Planner!$D$41:$D$45&gt;48)*Planner!$C$41:$C$45*12))-(IF(AND(C54&gt;=Planner!C7,C54&lt;='Start here'!$M$8),'Start here'!$M$7*(1+Planner!C24)^48,0)))/(1-Planner!C9))</f>
        <v/>
      </c>
      <c r="G54" s="56">
        <f>SUMPRODUCT((Planner!$D$71:$D$79=48)*Planner!$C$71:$C$79*(1+Planner!$N$71:$N$79)^(Planner!$D$71:$D$79))</f>
        <v/>
      </c>
      <c r="H54" s="56">
        <f>(H53+E54-F54-G54)*(1+IF(C54&lt;Planner!C7,Planner!C19,Planner!C20))</f>
        <v/>
      </c>
      <c r="I54" s="54">
        <f>IF(ROUND(H54,0)&lt;0,1,0)</f>
        <v/>
      </c>
    </row>
    <row r="55">
      <c r="B55" s="54" t="n">
        <v>49</v>
      </c>
      <c r="C55" s="54">
        <f>Planner!C6+49</f>
        <v/>
      </c>
      <c r="D55" s="55">
        <f>IF(C55&lt;Planner!C7,"Working","Retired")</f>
        <v/>
      </c>
      <c r="E55" s="56">
        <f>IF(AND(C55&lt;Planner!C7,C55&lt;'Start here'!$M$6),'Start here'!$M$9*12*(1+Planner!C24)^49,0)</f>
        <v/>
      </c>
      <c r="F55" s="56">
        <f>IF(C55&lt;Planner!C7,0,MAX(0,(Planner!E49*(1+Planner!C24)^49+IF(C55&lt;=Planner!M25,Planner!E50*(1+Planner!C25)^49,Planner!E50*(1+Planner!C25)^Planner!E25*(1+Planner!C24)^(49-Planner!E25))+IF(C55&lt;=Planner!M26,Planner!E51*(1+Planner!C26)^49,0)+SUMPRODUCT((Planner!$D$41:$D$45&gt;49)*Planner!$C$41:$C$45*12))-(IF(AND(C55&gt;=Planner!C7,C55&lt;='Start here'!$M$8),'Start here'!$M$7*(1+Planner!C24)^49,0)))/(1-Planner!C9))</f>
        <v/>
      </c>
      <c r="G55" s="56">
        <f>SUMPRODUCT((Planner!$D$71:$D$79=49)*Planner!$C$71:$C$79*(1+Planner!$N$71:$N$79)^(Planner!$D$71:$D$79))</f>
        <v/>
      </c>
      <c r="H55" s="56">
        <f>(H54+E55-F55-G55)*(1+IF(C55&lt;Planner!C7,Planner!C19,Planner!C20))</f>
        <v/>
      </c>
      <c r="I55" s="54">
        <f>IF(ROUND(H55,0)&lt;0,1,0)</f>
        <v/>
      </c>
    </row>
    <row r="56">
      <c r="B56" s="54" t="n">
        <v>50</v>
      </c>
      <c r="C56" s="54">
        <f>Planner!C6+50</f>
        <v/>
      </c>
      <c r="D56" s="55">
        <f>IF(C56&lt;Planner!C7,"Working","Retired")</f>
        <v/>
      </c>
      <c r="E56" s="56">
        <f>IF(AND(C56&lt;Planner!C7,C56&lt;'Start here'!$M$6),'Start here'!$M$9*12*(1+Planner!C24)^50,0)</f>
        <v/>
      </c>
      <c r="F56" s="56">
        <f>IF(C56&lt;Planner!C7,0,MAX(0,(Planner!E49*(1+Planner!C24)^50+IF(C56&lt;=Planner!M25,Planner!E50*(1+Planner!C25)^50,Planner!E50*(1+Planner!C25)^Planner!E25*(1+Planner!C24)^(50-Planner!E25))+IF(C56&lt;=Planner!M26,Planner!E51*(1+Planner!C26)^50,0)+SUMPRODUCT((Planner!$D$41:$D$45&gt;50)*Planner!$C$41:$C$45*12))-(IF(AND(C56&gt;=Planner!C7,C56&lt;='Start here'!$M$8),'Start here'!$M$7*(1+Planner!C24)^50,0)))/(1-Planner!C9))</f>
        <v/>
      </c>
      <c r="G56" s="56">
        <f>SUMPRODUCT((Planner!$D$71:$D$79=50)*Planner!$C$71:$C$79*(1+Planner!$N$71:$N$79)^(Planner!$D$71:$D$79))</f>
        <v/>
      </c>
      <c r="H56" s="56">
        <f>(H55+E56-F56-G56)*(1+IF(C56&lt;Planner!C7,Planner!C19,Planner!C20))</f>
        <v/>
      </c>
      <c r="I56" s="54">
        <f>IF(ROUND(H56,0)&lt;0,1,0)</f>
        <v/>
      </c>
    </row>
    <row r="57">
      <c r="B57" s="54" t="n">
        <v>51</v>
      </c>
      <c r="C57" s="54">
        <f>Planner!C6+51</f>
        <v/>
      </c>
      <c r="D57" s="55">
        <f>IF(C57&lt;Planner!C7,"Working","Retired")</f>
        <v/>
      </c>
      <c r="E57" s="56">
        <f>IF(AND(C57&lt;Planner!C7,C57&lt;'Start here'!$M$6),'Start here'!$M$9*12*(1+Planner!C24)^51,0)</f>
        <v/>
      </c>
      <c r="F57" s="56">
        <f>IF(C57&lt;Planner!C7,0,MAX(0,(Planner!E49*(1+Planner!C24)^51+IF(C57&lt;=Planner!M25,Planner!E50*(1+Planner!C25)^51,Planner!E50*(1+Planner!C25)^Planner!E25*(1+Planner!C24)^(51-Planner!E25))+IF(C57&lt;=Planner!M26,Planner!E51*(1+Planner!C26)^51,0)+SUMPRODUCT((Planner!$D$41:$D$45&gt;51)*Planner!$C$41:$C$45*12))-(IF(AND(C57&gt;=Planner!C7,C57&lt;='Start here'!$M$8),'Start here'!$M$7*(1+Planner!C24)^51,0)))/(1-Planner!C9))</f>
        <v/>
      </c>
      <c r="G57" s="56">
        <f>SUMPRODUCT((Planner!$D$71:$D$79=51)*Planner!$C$71:$C$79*(1+Planner!$N$71:$N$79)^(Planner!$D$71:$D$79))</f>
        <v/>
      </c>
      <c r="H57" s="56">
        <f>(H56+E57-F57-G57)*(1+IF(C57&lt;Planner!C7,Planner!C19,Planner!C20))</f>
        <v/>
      </c>
      <c r="I57" s="54">
        <f>IF(ROUND(H57,0)&lt;0,1,0)</f>
        <v/>
      </c>
    </row>
    <row r="58">
      <c r="B58" s="54" t="n">
        <v>52</v>
      </c>
      <c r="C58" s="54">
        <f>Planner!C6+52</f>
        <v/>
      </c>
      <c r="D58" s="55">
        <f>IF(C58&lt;Planner!C7,"Working","Retired")</f>
        <v/>
      </c>
      <c r="E58" s="56">
        <f>IF(AND(C58&lt;Planner!C7,C58&lt;'Start here'!$M$6),'Start here'!$M$9*12*(1+Planner!C24)^52,0)</f>
        <v/>
      </c>
      <c r="F58" s="56">
        <f>IF(C58&lt;Planner!C7,0,MAX(0,(Planner!E49*(1+Planner!C24)^52+IF(C58&lt;=Planner!M25,Planner!E50*(1+Planner!C25)^52,Planner!E50*(1+Planner!C25)^Planner!E25*(1+Planner!C24)^(52-Planner!E25))+IF(C58&lt;=Planner!M26,Planner!E51*(1+Planner!C26)^52,0)+SUMPRODUCT((Planner!$D$41:$D$45&gt;52)*Planner!$C$41:$C$45*12))-(IF(AND(C58&gt;=Planner!C7,C58&lt;='Start here'!$M$8),'Start here'!$M$7*(1+Planner!C24)^52,0)))/(1-Planner!C9))</f>
        <v/>
      </c>
      <c r="G58" s="56">
        <f>SUMPRODUCT((Planner!$D$71:$D$79=52)*Planner!$C$71:$C$79*(1+Planner!$N$71:$N$79)^(Planner!$D$71:$D$79))</f>
        <v/>
      </c>
      <c r="H58" s="56">
        <f>(H57+E58-F58-G58)*(1+IF(C58&lt;Planner!C7,Planner!C19,Planner!C20))</f>
        <v/>
      </c>
      <c r="I58" s="54">
        <f>IF(ROUND(H58,0)&lt;0,1,0)</f>
        <v/>
      </c>
    </row>
    <row r="59">
      <c r="B59" s="54" t="n">
        <v>53</v>
      </c>
      <c r="C59" s="54">
        <f>Planner!C6+53</f>
        <v/>
      </c>
      <c r="D59" s="55">
        <f>IF(C59&lt;Planner!C7,"Working","Retired")</f>
        <v/>
      </c>
      <c r="E59" s="56">
        <f>IF(AND(C59&lt;Planner!C7,C59&lt;'Start here'!$M$6),'Start here'!$M$9*12*(1+Planner!C24)^53,0)</f>
        <v/>
      </c>
      <c r="F59" s="56">
        <f>IF(C59&lt;Planner!C7,0,MAX(0,(Planner!E49*(1+Planner!C24)^53+IF(C59&lt;=Planner!M25,Planner!E50*(1+Planner!C25)^53,Planner!E50*(1+Planner!C25)^Planner!E25*(1+Planner!C24)^(53-Planner!E25))+IF(C59&lt;=Planner!M26,Planner!E51*(1+Planner!C26)^53,0)+SUMPRODUCT((Planner!$D$41:$D$45&gt;53)*Planner!$C$41:$C$45*12))-(IF(AND(C59&gt;=Planner!C7,C59&lt;='Start here'!$M$8),'Start here'!$M$7*(1+Planner!C24)^53,0)))/(1-Planner!C9))</f>
        <v/>
      </c>
      <c r="G59" s="56">
        <f>SUMPRODUCT((Planner!$D$71:$D$79=53)*Planner!$C$71:$C$79*(1+Planner!$N$71:$N$79)^(Planner!$D$71:$D$79))</f>
        <v/>
      </c>
      <c r="H59" s="56">
        <f>(H58+E59-F59-G59)*(1+IF(C59&lt;Planner!C7,Planner!C19,Planner!C20))</f>
        <v/>
      </c>
      <c r="I59" s="54">
        <f>IF(ROUND(H59,0)&lt;0,1,0)</f>
        <v/>
      </c>
    </row>
    <row r="60">
      <c r="B60" s="54" t="n">
        <v>54</v>
      </c>
      <c r="C60" s="54">
        <f>Planner!C6+54</f>
        <v/>
      </c>
      <c r="D60" s="55">
        <f>IF(C60&lt;Planner!C7,"Working","Retired")</f>
        <v/>
      </c>
      <c r="E60" s="56">
        <f>IF(AND(C60&lt;Planner!C7,C60&lt;'Start here'!$M$6),'Start here'!$M$9*12*(1+Planner!C24)^54,0)</f>
        <v/>
      </c>
      <c r="F60" s="56">
        <f>IF(C60&lt;Planner!C7,0,MAX(0,(Planner!E49*(1+Planner!C24)^54+IF(C60&lt;=Planner!M25,Planner!E50*(1+Planner!C25)^54,Planner!E50*(1+Planner!C25)^Planner!E25*(1+Planner!C24)^(54-Planner!E25))+IF(C60&lt;=Planner!M26,Planner!E51*(1+Planner!C26)^54,0)+SUMPRODUCT((Planner!$D$41:$D$45&gt;54)*Planner!$C$41:$C$45*12))-(IF(AND(C60&gt;=Planner!C7,C60&lt;='Start here'!$M$8),'Start here'!$M$7*(1+Planner!C24)^54,0)))/(1-Planner!C9))</f>
        <v/>
      </c>
      <c r="G60" s="56">
        <f>SUMPRODUCT((Planner!$D$71:$D$79=54)*Planner!$C$71:$C$79*(1+Planner!$N$71:$N$79)^(Planner!$D$71:$D$79))</f>
        <v/>
      </c>
      <c r="H60" s="56">
        <f>(H59+E60-F60-G60)*(1+IF(C60&lt;Planner!C7,Planner!C19,Planner!C20))</f>
        <v/>
      </c>
      <c r="I60" s="54">
        <f>IF(ROUND(H60,0)&lt;0,1,0)</f>
        <v/>
      </c>
    </row>
    <row r="61">
      <c r="B61" s="54" t="n">
        <v>55</v>
      </c>
      <c r="C61" s="54">
        <f>Planner!C6+55</f>
        <v/>
      </c>
      <c r="D61" s="55">
        <f>IF(C61&lt;Planner!C7,"Working","Retired")</f>
        <v/>
      </c>
      <c r="E61" s="56">
        <f>IF(AND(C61&lt;Planner!C7,C61&lt;'Start here'!$M$6),'Start here'!$M$9*12*(1+Planner!C24)^55,0)</f>
        <v/>
      </c>
      <c r="F61" s="56">
        <f>IF(C61&lt;Planner!C7,0,MAX(0,(Planner!E49*(1+Planner!C24)^55+IF(C61&lt;=Planner!M25,Planner!E50*(1+Planner!C25)^55,Planner!E50*(1+Planner!C25)^Planner!E25*(1+Planner!C24)^(55-Planner!E25))+IF(C61&lt;=Planner!M26,Planner!E51*(1+Planner!C26)^55,0)+SUMPRODUCT((Planner!$D$41:$D$45&gt;55)*Planner!$C$41:$C$45*12))-(IF(AND(C61&gt;=Planner!C7,C61&lt;='Start here'!$M$8),'Start here'!$M$7*(1+Planner!C24)^55,0)))/(1-Planner!C9))</f>
        <v/>
      </c>
      <c r="G61" s="56">
        <f>SUMPRODUCT((Planner!$D$71:$D$79=55)*Planner!$C$71:$C$79*(1+Planner!$N$71:$N$79)^(Planner!$D$71:$D$79))</f>
        <v/>
      </c>
      <c r="H61" s="56">
        <f>(H60+E61-F61-G61)*(1+IF(C61&lt;Planner!C7,Planner!C19,Planner!C20))</f>
        <v/>
      </c>
      <c r="I61" s="54">
        <f>IF(ROUND(H61,0)&lt;0,1,0)</f>
        <v/>
      </c>
    </row>
    <row r="62">
      <c r="B62" s="54" t="n">
        <v>56</v>
      </c>
      <c r="C62" s="54">
        <f>Planner!C6+56</f>
        <v/>
      </c>
      <c r="D62" s="55">
        <f>IF(C62&lt;Planner!C7,"Working","Retired")</f>
        <v/>
      </c>
      <c r="E62" s="56">
        <f>IF(AND(C62&lt;Planner!C7,C62&lt;'Start here'!$M$6),'Start here'!$M$9*12*(1+Planner!C24)^56,0)</f>
        <v/>
      </c>
      <c r="F62" s="56">
        <f>IF(C62&lt;Planner!C7,0,MAX(0,(Planner!E49*(1+Planner!C24)^56+IF(C62&lt;=Planner!M25,Planner!E50*(1+Planner!C25)^56,Planner!E50*(1+Planner!C25)^Planner!E25*(1+Planner!C24)^(56-Planner!E25))+IF(C62&lt;=Planner!M26,Planner!E51*(1+Planner!C26)^56,0)+SUMPRODUCT((Planner!$D$41:$D$45&gt;56)*Planner!$C$41:$C$45*12))-(IF(AND(C62&gt;=Planner!C7,C62&lt;='Start here'!$M$8),'Start here'!$M$7*(1+Planner!C24)^56,0)))/(1-Planner!C9))</f>
        <v/>
      </c>
      <c r="G62" s="56">
        <f>SUMPRODUCT((Planner!$D$71:$D$79=56)*Planner!$C$71:$C$79*(1+Planner!$N$71:$N$79)^(Planner!$D$71:$D$79))</f>
        <v/>
      </c>
      <c r="H62" s="56">
        <f>(H61+E62-F62-G62)*(1+IF(C62&lt;Planner!C7,Planner!C19,Planner!C20))</f>
        <v/>
      </c>
      <c r="I62" s="54">
        <f>IF(ROUND(H62,0)&lt;0,1,0)</f>
        <v/>
      </c>
    </row>
    <row r="63">
      <c r="B63" s="54" t="n">
        <v>57</v>
      </c>
      <c r="C63" s="54">
        <f>Planner!C6+57</f>
        <v/>
      </c>
      <c r="D63" s="55">
        <f>IF(C63&lt;Planner!C7,"Working","Retired")</f>
        <v/>
      </c>
      <c r="E63" s="56">
        <f>IF(AND(C63&lt;Planner!C7,C63&lt;'Start here'!$M$6),'Start here'!$M$9*12*(1+Planner!C24)^57,0)</f>
        <v/>
      </c>
      <c r="F63" s="56">
        <f>IF(C63&lt;Planner!C7,0,MAX(0,(Planner!E49*(1+Planner!C24)^57+IF(C63&lt;=Planner!M25,Planner!E50*(1+Planner!C25)^57,Planner!E50*(1+Planner!C25)^Planner!E25*(1+Planner!C24)^(57-Planner!E25))+IF(C63&lt;=Planner!M26,Planner!E51*(1+Planner!C26)^57,0)+SUMPRODUCT((Planner!$D$41:$D$45&gt;57)*Planner!$C$41:$C$45*12))-(IF(AND(C63&gt;=Planner!C7,C63&lt;='Start here'!$M$8),'Start here'!$M$7*(1+Planner!C24)^57,0)))/(1-Planner!C9))</f>
        <v/>
      </c>
      <c r="G63" s="56">
        <f>SUMPRODUCT((Planner!$D$71:$D$79=57)*Planner!$C$71:$C$79*(1+Planner!$N$71:$N$79)^(Planner!$D$71:$D$79))</f>
        <v/>
      </c>
      <c r="H63" s="56">
        <f>(H62+E63-F63-G63)*(1+IF(C63&lt;Planner!C7,Planner!C19,Planner!C20))</f>
        <v/>
      </c>
      <c r="I63" s="54">
        <f>IF(ROUND(H63,0)&lt;0,1,0)</f>
        <v/>
      </c>
    </row>
    <row r="64">
      <c r="B64" s="54" t="n">
        <v>58</v>
      </c>
      <c r="C64" s="54">
        <f>Planner!C6+58</f>
        <v/>
      </c>
      <c r="D64" s="55">
        <f>IF(C64&lt;Planner!C7,"Working","Retired")</f>
        <v/>
      </c>
      <c r="E64" s="56">
        <f>IF(AND(C64&lt;Planner!C7,C64&lt;'Start here'!$M$6),'Start here'!$M$9*12*(1+Planner!C24)^58,0)</f>
        <v/>
      </c>
      <c r="F64" s="56">
        <f>IF(C64&lt;Planner!C7,0,MAX(0,(Planner!E49*(1+Planner!C24)^58+IF(C64&lt;=Planner!M25,Planner!E50*(1+Planner!C25)^58,Planner!E50*(1+Planner!C25)^Planner!E25*(1+Planner!C24)^(58-Planner!E25))+IF(C64&lt;=Planner!M26,Planner!E51*(1+Planner!C26)^58,0)+SUMPRODUCT((Planner!$D$41:$D$45&gt;58)*Planner!$C$41:$C$45*12))-(IF(AND(C64&gt;=Planner!C7,C64&lt;='Start here'!$M$8),'Start here'!$M$7*(1+Planner!C24)^58,0)))/(1-Planner!C9))</f>
        <v/>
      </c>
      <c r="G64" s="56">
        <f>SUMPRODUCT((Planner!$D$71:$D$79=58)*Planner!$C$71:$C$79*(1+Planner!$N$71:$N$79)^(Planner!$D$71:$D$79))</f>
        <v/>
      </c>
      <c r="H64" s="56">
        <f>(H63+E64-F64-G64)*(1+IF(C64&lt;Planner!C7,Planner!C19,Planner!C20))</f>
        <v/>
      </c>
      <c r="I64" s="54">
        <f>IF(ROUND(H64,0)&lt;0,1,0)</f>
        <v/>
      </c>
    </row>
    <row r="65">
      <c r="B65" s="54" t="n">
        <v>59</v>
      </c>
      <c r="C65" s="54">
        <f>Planner!C6+59</f>
        <v/>
      </c>
      <c r="D65" s="55">
        <f>IF(C65&lt;Planner!C7,"Working","Retired")</f>
        <v/>
      </c>
      <c r="E65" s="56">
        <f>IF(AND(C65&lt;Planner!C7,C65&lt;'Start here'!$M$6),'Start here'!$M$9*12*(1+Planner!C24)^59,0)</f>
        <v/>
      </c>
      <c r="F65" s="56">
        <f>IF(C65&lt;Planner!C7,0,MAX(0,(Planner!E49*(1+Planner!C24)^59+IF(C65&lt;=Planner!M25,Planner!E50*(1+Planner!C25)^59,Planner!E50*(1+Planner!C25)^Planner!E25*(1+Planner!C24)^(59-Planner!E25))+IF(C65&lt;=Planner!M26,Planner!E51*(1+Planner!C26)^59,0)+SUMPRODUCT((Planner!$D$41:$D$45&gt;59)*Planner!$C$41:$C$45*12))-(IF(AND(C65&gt;=Planner!C7,C65&lt;='Start here'!$M$8),'Start here'!$M$7*(1+Planner!C24)^59,0)))/(1-Planner!C9))</f>
        <v/>
      </c>
      <c r="G65" s="56">
        <f>SUMPRODUCT((Planner!$D$71:$D$79=59)*Planner!$C$71:$C$79*(1+Planner!$N$71:$N$79)^(Planner!$D$71:$D$79))</f>
        <v/>
      </c>
      <c r="H65" s="56">
        <f>(H64+E65-F65-G65)*(1+IF(C65&lt;Planner!C7,Planner!C19,Planner!C20))</f>
        <v/>
      </c>
      <c r="I65" s="54">
        <f>IF(ROUND(H65,0)&lt;0,1,0)</f>
        <v/>
      </c>
    </row>
    <row r="66">
      <c r="B66" s="54" t="n">
        <v>60</v>
      </c>
      <c r="C66" s="54">
        <f>Planner!C6+60</f>
        <v/>
      </c>
      <c r="D66" s="55">
        <f>IF(C66&lt;Planner!C7,"Working","Retired")</f>
        <v/>
      </c>
      <c r="E66" s="56">
        <f>IF(AND(C66&lt;Planner!C7,C66&lt;'Start here'!$M$6),'Start here'!$M$9*12*(1+Planner!C24)^60,0)</f>
        <v/>
      </c>
      <c r="F66" s="56">
        <f>IF(C66&lt;Planner!C7,0,MAX(0,(Planner!E49*(1+Planner!C24)^60+IF(C66&lt;=Planner!M25,Planner!E50*(1+Planner!C25)^60,Planner!E50*(1+Planner!C25)^Planner!E25*(1+Planner!C24)^(60-Planner!E25))+IF(C66&lt;=Planner!M26,Planner!E51*(1+Planner!C26)^60,0)+SUMPRODUCT((Planner!$D$41:$D$45&gt;60)*Planner!$C$41:$C$45*12))-(IF(AND(C66&gt;=Planner!C7,C66&lt;='Start here'!$M$8),'Start here'!$M$7*(1+Planner!C24)^60,0)))/(1-Planner!C9))</f>
        <v/>
      </c>
      <c r="G66" s="56">
        <f>SUMPRODUCT((Planner!$D$71:$D$79=60)*Planner!$C$71:$C$79*(1+Planner!$N$71:$N$79)^(Planner!$D$71:$D$79))</f>
        <v/>
      </c>
      <c r="H66" s="56">
        <f>(H65+E66-F66-G66)*(1+IF(C66&lt;Planner!C7,Planner!C19,Planner!C20))</f>
        <v/>
      </c>
      <c r="I66" s="54">
        <f>IF(ROUND(H66,0)&lt;0,1,0)</f>
        <v/>
      </c>
    </row>
    <row r="67">
      <c r="B67" s="54" t="n">
        <v>61</v>
      </c>
      <c r="C67" s="54">
        <f>Planner!C6+61</f>
        <v/>
      </c>
      <c r="D67" s="55">
        <f>IF(C67&lt;Planner!C7,"Working","Retired")</f>
        <v/>
      </c>
      <c r="E67" s="56">
        <f>IF(AND(C67&lt;Planner!C7,C67&lt;'Start here'!$M$6),'Start here'!$M$9*12*(1+Planner!C24)^61,0)</f>
        <v/>
      </c>
      <c r="F67" s="56">
        <f>IF(C67&lt;Planner!C7,0,MAX(0,(Planner!E49*(1+Planner!C24)^61+IF(C67&lt;=Planner!M25,Planner!E50*(1+Planner!C25)^61,Planner!E50*(1+Planner!C25)^Planner!E25*(1+Planner!C24)^(61-Planner!E25))+IF(C67&lt;=Planner!M26,Planner!E51*(1+Planner!C26)^61,0)+SUMPRODUCT((Planner!$D$41:$D$45&gt;61)*Planner!$C$41:$C$45*12))-(IF(AND(C67&gt;=Planner!C7,C67&lt;='Start here'!$M$8),'Start here'!$M$7*(1+Planner!C24)^61,0)))/(1-Planner!C9))</f>
        <v/>
      </c>
      <c r="G67" s="56">
        <f>SUMPRODUCT((Planner!$D$71:$D$79=61)*Planner!$C$71:$C$79*(1+Planner!$N$71:$N$79)^(Planner!$D$71:$D$79))</f>
        <v/>
      </c>
      <c r="H67" s="56">
        <f>(H66+E67-F67-G67)*(1+IF(C67&lt;Planner!C7,Planner!C19,Planner!C20))</f>
        <v/>
      </c>
      <c r="I67" s="54">
        <f>IF(ROUND(H67,0)&lt;0,1,0)</f>
        <v/>
      </c>
    </row>
    <row r="68">
      <c r="B68" s="54" t="n">
        <v>62</v>
      </c>
      <c r="C68" s="54">
        <f>Planner!C6+62</f>
        <v/>
      </c>
      <c r="D68" s="55">
        <f>IF(C68&lt;Planner!C7,"Working","Retired")</f>
        <v/>
      </c>
      <c r="E68" s="56">
        <f>IF(AND(C68&lt;Planner!C7,C68&lt;'Start here'!$M$6),'Start here'!$M$9*12*(1+Planner!C24)^62,0)</f>
        <v/>
      </c>
      <c r="F68" s="56">
        <f>IF(C68&lt;Planner!C7,0,MAX(0,(Planner!E49*(1+Planner!C24)^62+IF(C68&lt;=Planner!M25,Planner!E50*(1+Planner!C25)^62,Planner!E50*(1+Planner!C25)^Planner!E25*(1+Planner!C24)^(62-Planner!E25))+IF(C68&lt;=Planner!M26,Planner!E51*(1+Planner!C26)^62,0)+SUMPRODUCT((Planner!$D$41:$D$45&gt;62)*Planner!$C$41:$C$45*12))-(IF(AND(C68&gt;=Planner!C7,C68&lt;='Start here'!$M$8),'Start here'!$M$7*(1+Planner!C24)^62,0)))/(1-Planner!C9))</f>
        <v/>
      </c>
      <c r="G68" s="56">
        <f>SUMPRODUCT((Planner!$D$71:$D$79=62)*Planner!$C$71:$C$79*(1+Planner!$N$71:$N$79)^(Planner!$D$71:$D$79))</f>
        <v/>
      </c>
      <c r="H68" s="56">
        <f>(H67+E68-F68-G68)*(1+IF(C68&lt;Planner!C7,Planner!C19,Planner!C20))</f>
        <v/>
      </c>
      <c r="I68" s="54">
        <f>IF(ROUND(H68,0)&lt;0,1,0)</f>
        <v/>
      </c>
    </row>
    <row r="69">
      <c r="B69" s="54" t="n">
        <v>63</v>
      </c>
      <c r="C69" s="54">
        <f>Planner!C6+63</f>
        <v/>
      </c>
      <c r="D69" s="55">
        <f>IF(C69&lt;Planner!C7,"Working","Retired")</f>
        <v/>
      </c>
      <c r="E69" s="56">
        <f>IF(AND(C69&lt;Planner!C7,C69&lt;'Start here'!$M$6),'Start here'!$M$9*12*(1+Planner!C24)^63,0)</f>
        <v/>
      </c>
      <c r="F69" s="56">
        <f>IF(C69&lt;Planner!C7,0,MAX(0,(Planner!E49*(1+Planner!C24)^63+IF(C69&lt;=Planner!M25,Planner!E50*(1+Planner!C25)^63,Planner!E50*(1+Planner!C25)^Planner!E25*(1+Planner!C24)^(63-Planner!E25))+IF(C69&lt;=Planner!M26,Planner!E51*(1+Planner!C26)^63,0)+SUMPRODUCT((Planner!$D$41:$D$45&gt;63)*Planner!$C$41:$C$45*12))-(IF(AND(C69&gt;=Planner!C7,C69&lt;='Start here'!$M$8),'Start here'!$M$7*(1+Planner!C24)^63,0)))/(1-Planner!C9))</f>
        <v/>
      </c>
      <c r="G69" s="56">
        <f>SUMPRODUCT((Planner!$D$71:$D$79=63)*Planner!$C$71:$C$79*(1+Planner!$N$71:$N$79)^(Planner!$D$71:$D$79))</f>
        <v/>
      </c>
      <c r="H69" s="56">
        <f>(H68+E69-F69-G69)*(1+IF(C69&lt;Planner!C7,Planner!C19,Planner!C20))</f>
        <v/>
      </c>
      <c r="I69" s="54">
        <f>IF(ROUND(H69,0)&lt;0,1,0)</f>
        <v/>
      </c>
    </row>
    <row r="70">
      <c r="B70" s="54" t="n">
        <v>64</v>
      </c>
      <c r="C70" s="54">
        <f>Planner!C6+64</f>
        <v/>
      </c>
      <c r="D70" s="55">
        <f>IF(C70&lt;Planner!C7,"Working","Retired")</f>
        <v/>
      </c>
      <c r="E70" s="56">
        <f>IF(AND(C70&lt;Planner!C7,C70&lt;'Start here'!$M$6),'Start here'!$M$9*12*(1+Planner!C24)^64,0)</f>
        <v/>
      </c>
      <c r="F70" s="56">
        <f>IF(C70&lt;Planner!C7,0,MAX(0,(Planner!E49*(1+Planner!C24)^64+IF(C70&lt;=Planner!M25,Planner!E50*(1+Planner!C25)^64,Planner!E50*(1+Planner!C25)^Planner!E25*(1+Planner!C24)^(64-Planner!E25))+IF(C70&lt;=Planner!M26,Planner!E51*(1+Planner!C26)^64,0)+SUMPRODUCT((Planner!$D$41:$D$45&gt;64)*Planner!$C$41:$C$45*12))-(IF(AND(C70&gt;=Planner!C7,C70&lt;='Start here'!$M$8),'Start here'!$M$7*(1+Planner!C24)^64,0)))/(1-Planner!C9))</f>
        <v/>
      </c>
      <c r="G70" s="56">
        <f>SUMPRODUCT((Planner!$D$71:$D$79=64)*Planner!$C$71:$C$79*(1+Planner!$N$71:$N$79)^(Planner!$D$71:$D$79))</f>
        <v/>
      </c>
      <c r="H70" s="56">
        <f>(H69+E70-F70-G70)*(1+IF(C70&lt;Planner!C7,Planner!C19,Planner!C20))</f>
        <v/>
      </c>
      <c r="I70" s="54">
        <f>IF(ROUND(H70,0)&lt;0,1,0)</f>
        <v/>
      </c>
    </row>
    <row r="71">
      <c r="B71" s="54" t="n">
        <v>65</v>
      </c>
      <c r="C71" s="54">
        <f>Planner!C6+65</f>
        <v/>
      </c>
      <c r="D71" s="55">
        <f>IF(C71&lt;Planner!C7,"Working","Retired")</f>
        <v/>
      </c>
      <c r="E71" s="56">
        <f>IF(AND(C71&lt;Planner!C7,C71&lt;'Start here'!$M$6),'Start here'!$M$9*12*(1+Planner!C24)^65,0)</f>
        <v/>
      </c>
      <c r="F71" s="56">
        <f>IF(C71&lt;Planner!C7,0,MAX(0,(Planner!E49*(1+Planner!C24)^65+IF(C71&lt;=Planner!M25,Planner!E50*(1+Planner!C25)^65,Planner!E50*(1+Planner!C25)^Planner!E25*(1+Planner!C24)^(65-Planner!E25))+IF(C71&lt;=Planner!M26,Planner!E51*(1+Planner!C26)^65,0)+SUMPRODUCT((Planner!$D$41:$D$45&gt;65)*Planner!$C$41:$C$45*12))-(IF(AND(C71&gt;=Planner!C7,C71&lt;='Start here'!$M$8),'Start here'!$M$7*(1+Planner!C24)^65,0)))/(1-Planner!C9))</f>
        <v/>
      </c>
      <c r="G71" s="56">
        <f>SUMPRODUCT((Planner!$D$71:$D$79=65)*Planner!$C$71:$C$79*(1+Planner!$N$71:$N$79)^(Planner!$D$71:$D$79))</f>
        <v/>
      </c>
      <c r="H71" s="56">
        <f>(H70+E71-F71-G71)*(1+IF(C71&lt;Planner!C7,Planner!C19,Planner!C20))</f>
        <v/>
      </c>
      <c r="I71" s="54">
        <f>IF(ROUND(H71,0)&lt;0,1,0)</f>
        <v/>
      </c>
    </row>
    <row r="72">
      <c r="B72" s="54" t="n">
        <v>66</v>
      </c>
      <c r="C72" s="54">
        <f>Planner!C6+66</f>
        <v/>
      </c>
      <c r="D72" s="55">
        <f>IF(C72&lt;Planner!C7,"Working","Retired")</f>
        <v/>
      </c>
      <c r="E72" s="56">
        <f>IF(AND(C72&lt;Planner!C7,C72&lt;'Start here'!$M$6),'Start here'!$M$9*12*(1+Planner!C24)^66,0)</f>
        <v/>
      </c>
      <c r="F72" s="56">
        <f>IF(C72&lt;Planner!C7,0,MAX(0,(Planner!E49*(1+Planner!C24)^66+IF(C72&lt;=Planner!M25,Planner!E50*(1+Planner!C25)^66,Planner!E50*(1+Planner!C25)^Planner!E25*(1+Planner!C24)^(66-Planner!E25))+IF(C72&lt;=Planner!M26,Planner!E51*(1+Planner!C26)^66,0)+SUMPRODUCT((Planner!$D$41:$D$45&gt;66)*Planner!$C$41:$C$45*12))-(IF(AND(C72&gt;=Planner!C7,C72&lt;='Start here'!$M$8),'Start here'!$M$7*(1+Planner!C24)^66,0)))/(1-Planner!C9))</f>
        <v/>
      </c>
      <c r="G72" s="56">
        <f>SUMPRODUCT((Planner!$D$71:$D$79=66)*Planner!$C$71:$C$79*(1+Planner!$N$71:$N$79)^(Planner!$D$71:$D$79))</f>
        <v/>
      </c>
      <c r="H72" s="56">
        <f>(H71+E72-F72-G72)*(1+IF(C72&lt;Planner!C7,Planner!C19,Planner!C20))</f>
        <v/>
      </c>
      <c r="I72" s="54">
        <f>IF(ROUND(H72,0)&lt;0,1,0)</f>
        <v/>
      </c>
    </row>
    <row r="73">
      <c r="B73" s="54" t="n">
        <v>67</v>
      </c>
      <c r="C73" s="54">
        <f>Planner!C6+67</f>
        <v/>
      </c>
      <c r="D73" s="55">
        <f>IF(C73&lt;Planner!C7,"Working","Retired")</f>
        <v/>
      </c>
      <c r="E73" s="56">
        <f>IF(AND(C73&lt;Planner!C7,C73&lt;'Start here'!$M$6),'Start here'!$M$9*12*(1+Planner!C24)^67,0)</f>
        <v/>
      </c>
      <c r="F73" s="56">
        <f>IF(C73&lt;Planner!C7,0,MAX(0,(Planner!E49*(1+Planner!C24)^67+IF(C73&lt;=Planner!M25,Planner!E50*(1+Planner!C25)^67,Planner!E50*(1+Planner!C25)^Planner!E25*(1+Planner!C24)^(67-Planner!E25))+IF(C73&lt;=Planner!M26,Planner!E51*(1+Planner!C26)^67,0)+SUMPRODUCT((Planner!$D$41:$D$45&gt;67)*Planner!$C$41:$C$45*12))-(IF(AND(C73&gt;=Planner!C7,C73&lt;='Start here'!$M$8),'Start here'!$M$7*(1+Planner!C24)^67,0)))/(1-Planner!C9))</f>
        <v/>
      </c>
      <c r="G73" s="56">
        <f>SUMPRODUCT((Planner!$D$71:$D$79=67)*Planner!$C$71:$C$79*(1+Planner!$N$71:$N$79)^(Planner!$D$71:$D$79))</f>
        <v/>
      </c>
      <c r="H73" s="56">
        <f>(H72+E73-F73-G73)*(1+IF(C73&lt;Planner!C7,Planner!C19,Planner!C20))</f>
        <v/>
      </c>
      <c r="I73" s="54">
        <f>IF(ROUND(H73,0)&lt;0,1,0)</f>
        <v/>
      </c>
    </row>
    <row r="74">
      <c r="B74" s="54" t="n">
        <v>68</v>
      </c>
      <c r="C74" s="54">
        <f>Planner!C6+68</f>
        <v/>
      </c>
      <c r="D74" s="55">
        <f>IF(C74&lt;Planner!C7,"Working","Retired")</f>
        <v/>
      </c>
      <c r="E74" s="56">
        <f>IF(AND(C74&lt;Planner!C7,C74&lt;'Start here'!$M$6),'Start here'!$M$9*12*(1+Planner!C24)^68,0)</f>
        <v/>
      </c>
      <c r="F74" s="56">
        <f>IF(C74&lt;Planner!C7,0,MAX(0,(Planner!E49*(1+Planner!C24)^68+IF(C74&lt;=Planner!M25,Planner!E50*(1+Planner!C25)^68,Planner!E50*(1+Planner!C25)^Planner!E25*(1+Planner!C24)^(68-Planner!E25))+IF(C74&lt;=Planner!M26,Planner!E51*(1+Planner!C26)^68,0)+SUMPRODUCT((Planner!$D$41:$D$45&gt;68)*Planner!$C$41:$C$45*12))-(IF(AND(C74&gt;=Planner!C7,C74&lt;='Start here'!$M$8),'Start here'!$M$7*(1+Planner!C24)^68,0)))/(1-Planner!C9))</f>
        <v/>
      </c>
      <c r="G74" s="56">
        <f>SUMPRODUCT((Planner!$D$71:$D$79=68)*Planner!$C$71:$C$79*(1+Planner!$N$71:$N$79)^(Planner!$D$71:$D$79))</f>
        <v/>
      </c>
      <c r="H74" s="56">
        <f>(H73+E74-F74-G74)*(1+IF(C74&lt;Planner!C7,Planner!C19,Planner!C20))</f>
        <v/>
      </c>
      <c r="I74" s="54">
        <f>IF(ROUND(H74,0)&lt;0,1,0)</f>
        <v/>
      </c>
    </row>
    <row r="75">
      <c r="B75" s="54" t="n">
        <v>69</v>
      </c>
      <c r="C75" s="54">
        <f>Planner!C6+69</f>
        <v/>
      </c>
      <c r="D75" s="55">
        <f>IF(C75&lt;Planner!C7,"Working","Retired")</f>
        <v/>
      </c>
      <c r="E75" s="56">
        <f>IF(AND(C75&lt;Planner!C7,C75&lt;'Start here'!$M$6),'Start here'!$M$9*12*(1+Planner!C24)^69,0)</f>
        <v/>
      </c>
      <c r="F75" s="56">
        <f>IF(C75&lt;Planner!C7,0,MAX(0,(Planner!E49*(1+Planner!C24)^69+IF(C75&lt;=Planner!M25,Planner!E50*(1+Planner!C25)^69,Planner!E50*(1+Planner!C25)^Planner!E25*(1+Planner!C24)^(69-Planner!E25))+IF(C75&lt;=Planner!M26,Planner!E51*(1+Planner!C26)^69,0)+SUMPRODUCT((Planner!$D$41:$D$45&gt;69)*Planner!$C$41:$C$45*12))-(IF(AND(C75&gt;=Planner!C7,C75&lt;='Start here'!$M$8),'Start here'!$M$7*(1+Planner!C24)^69,0)))/(1-Planner!C9))</f>
        <v/>
      </c>
      <c r="G75" s="56">
        <f>SUMPRODUCT((Planner!$D$71:$D$79=69)*Planner!$C$71:$C$79*(1+Planner!$N$71:$N$79)^(Planner!$D$71:$D$79))</f>
        <v/>
      </c>
      <c r="H75" s="56">
        <f>(H74+E75-F75-G75)*(1+IF(C75&lt;Planner!C7,Planner!C19,Planner!C20))</f>
        <v/>
      </c>
      <c r="I75" s="54">
        <f>IF(ROUND(H75,0)&lt;0,1,0)</f>
        <v/>
      </c>
    </row>
    <row r="76">
      <c r="B76" s="54" t="n">
        <v>70</v>
      </c>
      <c r="C76" s="54">
        <f>Planner!C6+70</f>
        <v/>
      </c>
      <c r="D76" s="55">
        <f>IF(C76&lt;Planner!C7,"Working","Retired")</f>
        <v/>
      </c>
      <c r="E76" s="56">
        <f>IF(AND(C76&lt;Planner!C7,C76&lt;'Start here'!$M$6),'Start here'!$M$9*12*(1+Planner!C24)^70,0)</f>
        <v/>
      </c>
      <c r="F76" s="56">
        <f>IF(C76&lt;Planner!C7,0,MAX(0,(Planner!E49*(1+Planner!C24)^70+IF(C76&lt;=Planner!M25,Planner!E50*(1+Planner!C25)^70,Planner!E50*(1+Planner!C25)^Planner!E25*(1+Planner!C24)^(70-Planner!E25))+IF(C76&lt;=Planner!M26,Planner!E51*(1+Planner!C26)^70,0)+SUMPRODUCT((Planner!$D$41:$D$45&gt;70)*Planner!$C$41:$C$45*12))-(IF(AND(C76&gt;=Planner!C7,C76&lt;='Start here'!$M$8),'Start here'!$M$7*(1+Planner!C24)^70,0)))/(1-Planner!C9))</f>
        <v/>
      </c>
      <c r="G76" s="56">
        <f>SUMPRODUCT((Planner!$D$71:$D$79=70)*Planner!$C$71:$C$79*(1+Planner!$N$71:$N$79)^(Planner!$D$71:$D$79))</f>
        <v/>
      </c>
      <c r="H76" s="56">
        <f>(H75+E76-F76-G76)*(1+IF(C76&lt;Planner!C7,Planner!C19,Planner!C20))</f>
        <v/>
      </c>
      <c r="I76" s="54">
        <f>IF(ROUND(H76,0)&lt;0,1,0)</f>
        <v/>
      </c>
    </row>
    <row r="77">
      <c r="B77" s="54" t="n">
        <v>71</v>
      </c>
      <c r="C77" s="54">
        <f>Planner!C6+71</f>
        <v/>
      </c>
      <c r="D77" s="55">
        <f>IF(C77&lt;Planner!C7,"Working","Retired")</f>
        <v/>
      </c>
      <c r="E77" s="56">
        <f>IF(AND(C77&lt;Planner!C7,C77&lt;'Start here'!$M$6),'Start here'!$M$9*12*(1+Planner!C24)^71,0)</f>
        <v/>
      </c>
      <c r="F77" s="56">
        <f>IF(C77&lt;Planner!C7,0,MAX(0,(Planner!E49*(1+Planner!C24)^71+IF(C77&lt;=Planner!M25,Planner!E50*(1+Planner!C25)^71,Planner!E50*(1+Planner!C25)^Planner!E25*(1+Planner!C24)^(71-Planner!E25))+IF(C77&lt;=Planner!M26,Planner!E51*(1+Planner!C26)^71,0)+SUMPRODUCT((Planner!$D$41:$D$45&gt;71)*Planner!$C$41:$C$45*12))-(IF(AND(C77&gt;=Planner!C7,C77&lt;='Start here'!$M$8),'Start here'!$M$7*(1+Planner!C24)^71,0)))/(1-Planner!C9))</f>
        <v/>
      </c>
      <c r="G77" s="56">
        <f>SUMPRODUCT((Planner!$D$71:$D$79=71)*Planner!$C$71:$C$79*(1+Planner!$N$71:$N$79)^(Planner!$D$71:$D$79))</f>
        <v/>
      </c>
      <c r="H77" s="56">
        <f>(H76+E77-F77-G77)*(1+IF(C77&lt;Planner!C7,Planner!C19,Planner!C20))</f>
        <v/>
      </c>
      <c r="I77" s="54">
        <f>IF(ROUND(H77,0)&lt;0,1,0)</f>
        <v/>
      </c>
    </row>
    <row r="78">
      <c r="B78" s="54" t="n">
        <v>72</v>
      </c>
      <c r="C78" s="54">
        <f>Planner!C6+72</f>
        <v/>
      </c>
      <c r="D78" s="55">
        <f>IF(C78&lt;Planner!C7,"Working","Retired")</f>
        <v/>
      </c>
      <c r="E78" s="56">
        <f>IF(AND(C78&lt;Planner!C7,C78&lt;'Start here'!$M$6),'Start here'!$M$9*12*(1+Planner!C24)^72,0)</f>
        <v/>
      </c>
      <c r="F78" s="56">
        <f>IF(C78&lt;Planner!C7,0,MAX(0,(Planner!E49*(1+Planner!C24)^72+IF(C78&lt;=Planner!M25,Planner!E50*(1+Planner!C25)^72,Planner!E50*(1+Planner!C25)^Planner!E25*(1+Planner!C24)^(72-Planner!E25))+IF(C78&lt;=Planner!M26,Planner!E51*(1+Planner!C26)^72,0)+SUMPRODUCT((Planner!$D$41:$D$45&gt;72)*Planner!$C$41:$C$45*12))-(IF(AND(C78&gt;=Planner!C7,C78&lt;='Start here'!$M$8),'Start here'!$M$7*(1+Planner!C24)^72,0)))/(1-Planner!C9))</f>
        <v/>
      </c>
      <c r="G78" s="56">
        <f>SUMPRODUCT((Planner!$D$71:$D$79=72)*Planner!$C$71:$C$79*(1+Planner!$N$71:$N$79)^(Planner!$D$71:$D$79))</f>
        <v/>
      </c>
      <c r="H78" s="56">
        <f>(H77+E78-F78-G78)*(1+IF(C78&lt;Planner!C7,Planner!C19,Planner!C20))</f>
        <v/>
      </c>
      <c r="I78" s="54">
        <f>IF(ROUND(H78,0)&lt;0,1,0)</f>
        <v/>
      </c>
    </row>
    <row r="79">
      <c r="B79" s="54" t="n">
        <v>73</v>
      </c>
      <c r="C79" s="54">
        <f>Planner!C6+73</f>
        <v/>
      </c>
      <c r="D79" s="55">
        <f>IF(C79&lt;Planner!C7,"Working","Retired")</f>
        <v/>
      </c>
      <c r="E79" s="56">
        <f>IF(AND(C79&lt;Planner!C7,C79&lt;'Start here'!$M$6),'Start here'!$M$9*12*(1+Planner!C24)^73,0)</f>
        <v/>
      </c>
      <c r="F79" s="56">
        <f>IF(C79&lt;Planner!C7,0,MAX(0,(Planner!E49*(1+Planner!C24)^73+IF(C79&lt;=Planner!M25,Planner!E50*(1+Planner!C25)^73,Planner!E50*(1+Planner!C25)^Planner!E25*(1+Planner!C24)^(73-Planner!E25))+IF(C79&lt;=Planner!M26,Planner!E51*(1+Planner!C26)^73,0)+SUMPRODUCT((Planner!$D$41:$D$45&gt;73)*Planner!$C$41:$C$45*12))-(IF(AND(C79&gt;=Planner!C7,C79&lt;='Start here'!$M$8),'Start here'!$M$7*(1+Planner!C24)^73,0)))/(1-Planner!C9))</f>
        <v/>
      </c>
      <c r="G79" s="56">
        <f>SUMPRODUCT((Planner!$D$71:$D$79=73)*Planner!$C$71:$C$79*(1+Planner!$N$71:$N$79)^(Planner!$D$71:$D$79))</f>
        <v/>
      </c>
      <c r="H79" s="56">
        <f>(H78+E79-F79-G79)*(1+IF(C79&lt;Planner!C7,Planner!C19,Planner!C20))</f>
        <v/>
      </c>
      <c r="I79" s="54">
        <f>IF(ROUND(H79,0)&lt;0,1,0)</f>
        <v/>
      </c>
    </row>
    <row r="80">
      <c r="B80" s="54" t="n">
        <v>74</v>
      </c>
      <c r="C80" s="54">
        <f>Planner!C6+74</f>
        <v/>
      </c>
      <c r="D80" s="55">
        <f>IF(C80&lt;Planner!C7,"Working","Retired")</f>
        <v/>
      </c>
      <c r="E80" s="56">
        <f>IF(AND(C80&lt;Planner!C7,C80&lt;'Start here'!$M$6),'Start here'!$M$9*12*(1+Planner!C24)^74,0)</f>
        <v/>
      </c>
      <c r="F80" s="56">
        <f>IF(C80&lt;Planner!C7,0,MAX(0,(Planner!E49*(1+Planner!C24)^74+IF(C80&lt;=Planner!M25,Planner!E50*(1+Planner!C25)^74,Planner!E50*(1+Planner!C25)^Planner!E25*(1+Planner!C24)^(74-Planner!E25))+IF(C80&lt;=Planner!M26,Planner!E51*(1+Planner!C26)^74,0)+SUMPRODUCT((Planner!$D$41:$D$45&gt;74)*Planner!$C$41:$C$45*12))-(IF(AND(C80&gt;=Planner!C7,C80&lt;='Start here'!$M$8),'Start here'!$M$7*(1+Planner!C24)^74,0)))/(1-Planner!C9))</f>
        <v/>
      </c>
      <c r="G80" s="56">
        <f>SUMPRODUCT((Planner!$D$71:$D$79=74)*Planner!$C$71:$C$79*(1+Planner!$N$71:$N$79)^(Planner!$D$71:$D$79))</f>
        <v/>
      </c>
      <c r="H80" s="56">
        <f>(H79+E80-F80-G80)*(1+IF(C80&lt;Planner!C7,Planner!C19,Planner!C20))</f>
        <v/>
      </c>
      <c r="I80" s="54">
        <f>IF(ROUND(H80,0)&lt;0,1,0)</f>
        <v/>
      </c>
    </row>
    <row r="81">
      <c r="B81" s="54" t="n">
        <v>75</v>
      </c>
      <c r="C81" s="54">
        <f>Planner!C6+75</f>
        <v/>
      </c>
      <c r="D81" s="55">
        <f>IF(C81&lt;Planner!C7,"Working","Retired")</f>
        <v/>
      </c>
      <c r="E81" s="56">
        <f>IF(AND(C81&lt;Planner!C7,C81&lt;'Start here'!$M$6),'Start here'!$M$9*12*(1+Planner!C24)^75,0)</f>
        <v/>
      </c>
      <c r="F81" s="56">
        <f>IF(C81&lt;Planner!C7,0,MAX(0,(Planner!E49*(1+Planner!C24)^75+IF(C81&lt;=Planner!M25,Planner!E50*(1+Planner!C25)^75,Planner!E50*(1+Planner!C25)^Planner!E25*(1+Planner!C24)^(75-Planner!E25))+IF(C81&lt;=Planner!M26,Planner!E51*(1+Planner!C26)^75,0)+SUMPRODUCT((Planner!$D$41:$D$45&gt;75)*Planner!$C$41:$C$45*12))-(IF(AND(C81&gt;=Planner!C7,C81&lt;='Start here'!$M$8),'Start here'!$M$7*(1+Planner!C24)^75,0)))/(1-Planner!C9))</f>
        <v/>
      </c>
      <c r="G81" s="56">
        <f>SUMPRODUCT((Planner!$D$71:$D$79=75)*Planner!$C$71:$C$79*(1+Planner!$N$71:$N$79)^(Planner!$D$71:$D$79))</f>
        <v/>
      </c>
      <c r="H81" s="56">
        <f>(H80+E81-F81-G81)*(1+IF(C81&lt;Planner!C7,Planner!C19,Planner!C20))</f>
        <v/>
      </c>
      <c r="I81" s="54">
        <f>IF(ROUND(H81,0)&lt;0,1,0)</f>
        <v/>
      </c>
    </row>
    <row r="82">
      <c r="B82" s="54" t="n">
        <v>76</v>
      </c>
      <c r="C82" s="54">
        <f>Planner!C6+76</f>
        <v/>
      </c>
      <c r="D82" s="55">
        <f>IF(C82&lt;Planner!C7,"Working","Retired")</f>
        <v/>
      </c>
      <c r="E82" s="56">
        <f>IF(AND(C82&lt;Planner!C7,C82&lt;'Start here'!$M$6),'Start here'!$M$9*12*(1+Planner!C24)^76,0)</f>
        <v/>
      </c>
      <c r="F82" s="56">
        <f>IF(C82&lt;Planner!C7,0,MAX(0,(Planner!E49*(1+Planner!C24)^76+IF(C82&lt;=Planner!M25,Planner!E50*(1+Planner!C25)^76,Planner!E50*(1+Planner!C25)^Planner!E25*(1+Planner!C24)^(76-Planner!E25))+IF(C82&lt;=Planner!M26,Planner!E51*(1+Planner!C26)^76,0)+SUMPRODUCT((Planner!$D$41:$D$45&gt;76)*Planner!$C$41:$C$45*12))-(IF(AND(C82&gt;=Planner!C7,C82&lt;='Start here'!$M$8),'Start here'!$M$7*(1+Planner!C24)^76,0)))/(1-Planner!C9))</f>
        <v/>
      </c>
      <c r="G82" s="56">
        <f>SUMPRODUCT((Planner!$D$71:$D$79=76)*Planner!$C$71:$C$79*(1+Planner!$N$71:$N$79)^(Planner!$D$71:$D$79))</f>
        <v/>
      </c>
      <c r="H82" s="56">
        <f>(H81+E82-F82-G82)*(1+IF(C82&lt;Planner!C7,Planner!C19,Planner!C20))</f>
        <v/>
      </c>
      <c r="I82" s="54">
        <f>IF(ROUND(H82,0)&lt;0,1,0)</f>
        <v/>
      </c>
    </row>
    <row r="83">
      <c r="B83" s="54" t="n">
        <v>77</v>
      </c>
      <c r="C83" s="54">
        <f>Planner!C6+77</f>
        <v/>
      </c>
      <c r="D83" s="55">
        <f>IF(C83&lt;Planner!C7,"Working","Retired")</f>
        <v/>
      </c>
      <c r="E83" s="56">
        <f>IF(AND(C83&lt;Planner!C7,C83&lt;'Start here'!$M$6),'Start here'!$M$9*12*(1+Planner!C24)^77,0)</f>
        <v/>
      </c>
      <c r="F83" s="56">
        <f>IF(C83&lt;Planner!C7,0,MAX(0,(Planner!E49*(1+Planner!C24)^77+IF(C83&lt;=Planner!M25,Planner!E50*(1+Planner!C25)^77,Planner!E50*(1+Planner!C25)^Planner!E25*(1+Planner!C24)^(77-Planner!E25))+IF(C83&lt;=Planner!M26,Planner!E51*(1+Planner!C26)^77,0)+SUMPRODUCT((Planner!$D$41:$D$45&gt;77)*Planner!$C$41:$C$45*12))-(IF(AND(C83&gt;=Planner!C7,C83&lt;='Start here'!$M$8),'Start here'!$M$7*(1+Planner!C24)^77,0)))/(1-Planner!C9))</f>
        <v/>
      </c>
      <c r="G83" s="56">
        <f>SUMPRODUCT((Planner!$D$71:$D$79=77)*Planner!$C$71:$C$79*(1+Planner!$N$71:$N$79)^(Planner!$D$71:$D$79))</f>
        <v/>
      </c>
      <c r="H83" s="56">
        <f>(H82+E83-F83-G83)*(1+IF(C83&lt;Planner!C7,Planner!C19,Planner!C20))</f>
        <v/>
      </c>
      <c r="I83" s="54">
        <f>IF(ROUND(H83,0)&lt;0,1,0)</f>
        <v/>
      </c>
    </row>
    <row r="84">
      <c r="B84" s="54" t="n">
        <v>78</v>
      </c>
      <c r="C84" s="54">
        <f>Planner!C6+78</f>
        <v/>
      </c>
      <c r="D84" s="55">
        <f>IF(C84&lt;Planner!C7,"Working","Retired")</f>
        <v/>
      </c>
      <c r="E84" s="56">
        <f>IF(AND(C84&lt;Planner!C7,C84&lt;'Start here'!$M$6),'Start here'!$M$9*12*(1+Planner!C24)^78,0)</f>
        <v/>
      </c>
      <c r="F84" s="56">
        <f>IF(C84&lt;Planner!C7,0,MAX(0,(Planner!E49*(1+Planner!C24)^78+IF(C84&lt;=Planner!M25,Planner!E50*(1+Planner!C25)^78,Planner!E50*(1+Planner!C25)^Planner!E25*(1+Planner!C24)^(78-Planner!E25))+IF(C84&lt;=Planner!M26,Planner!E51*(1+Planner!C26)^78,0)+SUMPRODUCT((Planner!$D$41:$D$45&gt;78)*Planner!$C$41:$C$45*12))-(IF(AND(C84&gt;=Planner!C7,C84&lt;='Start here'!$M$8),'Start here'!$M$7*(1+Planner!C24)^78,0)))/(1-Planner!C9))</f>
        <v/>
      </c>
      <c r="G84" s="56">
        <f>SUMPRODUCT((Planner!$D$71:$D$79=78)*Planner!$C$71:$C$79*(1+Planner!$N$71:$N$79)^(Planner!$D$71:$D$79))</f>
        <v/>
      </c>
      <c r="H84" s="56">
        <f>(H83+E84-F84-G84)*(1+IF(C84&lt;Planner!C7,Planner!C19,Planner!C20))</f>
        <v/>
      </c>
      <c r="I84" s="54">
        <f>IF(ROUND(H84,0)&lt;0,1,0)</f>
        <v/>
      </c>
    </row>
    <row r="85">
      <c r="B85" s="54" t="n">
        <v>79</v>
      </c>
      <c r="C85" s="54">
        <f>Planner!C6+79</f>
        <v/>
      </c>
      <c r="D85" s="55">
        <f>IF(C85&lt;Planner!C7,"Working","Retired")</f>
        <v/>
      </c>
      <c r="E85" s="56">
        <f>IF(AND(C85&lt;Planner!C7,C85&lt;'Start here'!$M$6),'Start here'!$M$9*12*(1+Planner!C24)^79,0)</f>
        <v/>
      </c>
      <c r="F85" s="56">
        <f>IF(C85&lt;Planner!C7,0,MAX(0,(Planner!E49*(1+Planner!C24)^79+IF(C85&lt;=Planner!M25,Planner!E50*(1+Planner!C25)^79,Planner!E50*(1+Planner!C25)^Planner!E25*(1+Planner!C24)^(79-Planner!E25))+IF(C85&lt;=Planner!M26,Planner!E51*(1+Planner!C26)^79,0)+SUMPRODUCT((Planner!$D$41:$D$45&gt;79)*Planner!$C$41:$C$45*12))-(IF(AND(C85&gt;=Planner!C7,C85&lt;='Start here'!$M$8),'Start here'!$M$7*(1+Planner!C24)^79,0)))/(1-Planner!C9))</f>
        <v/>
      </c>
      <c r="G85" s="56">
        <f>SUMPRODUCT((Planner!$D$71:$D$79=79)*Planner!$C$71:$C$79*(1+Planner!$N$71:$N$79)^(Planner!$D$71:$D$79))</f>
        <v/>
      </c>
      <c r="H85" s="56">
        <f>(H84+E85-F85-G85)*(1+IF(C85&lt;Planner!C7,Planner!C19,Planner!C20))</f>
        <v/>
      </c>
      <c r="I85" s="54">
        <f>IF(ROUND(H85,0)&lt;0,1,0)</f>
        <v/>
      </c>
    </row>
    <row r="86">
      <c r="B86" s="54" t="n">
        <v>80</v>
      </c>
      <c r="C86" s="54">
        <f>Planner!C6+80</f>
        <v/>
      </c>
      <c r="D86" s="55">
        <f>IF(C86&lt;Planner!C7,"Working","Retired")</f>
        <v/>
      </c>
      <c r="E86" s="56">
        <f>IF(AND(C86&lt;Planner!C7,C86&lt;'Start here'!$M$6),'Start here'!$M$9*12*(1+Planner!C24)^80,0)</f>
        <v/>
      </c>
      <c r="F86" s="56">
        <f>IF(C86&lt;Planner!C7,0,MAX(0,(Planner!E49*(1+Planner!C24)^80+IF(C86&lt;=Planner!M25,Planner!E50*(1+Planner!C25)^80,Planner!E50*(1+Planner!C25)^Planner!E25*(1+Planner!C24)^(80-Planner!E25))+IF(C86&lt;=Planner!M26,Planner!E51*(1+Planner!C26)^80,0)+SUMPRODUCT((Planner!$D$41:$D$45&gt;80)*Planner!$C$41:$C$45*12))-(IF(AND(C86&gt;=Planner!C7,C86&lt;='Start here'!$M$8),'Start here'!$M$7*(1+Planner!C24)^80,0)))/(1-Planner!C9))</f>
        <v/>
      </c>
      <c r="G86" s="56">
        <f>SUMPRODUCT((Planner!$D$71:$D$79=80)*Planner!$C$71:$C$79*(1+Planner!$N$71:$N$79)^(Planner!$D$71:$D$79))</f>
        <v/>
      </c>
      <c r="H86" s="56">
        <f>(H85+E86-F86-G86)*(1+IF(C86&lt;Planner!C7,Planner!C19,Planner!C20))</f>
        <v/>
      </c>
      <c r="I86" s="54">
        <f>IF(ROUND(H86,0)&lt;0,1,0)</f>
        <v/>
      </c>
    </row>
    <row r="87">
      <c r="B87" s="54" t="n">
        <v>81</v>
      </c>
      <c r="C87" s="54">
        <f>Planner!C6+81</f>
        <v/>
      </c>
      <c r="D87" s="55">
        <f>IF(C87&lt;Planner!C7,"Working","Retired")</f>
        <v/>
      </c>
      <c r="E87" s="56">
        <f>IF(AND(C87&lt;Planner!C7,C87&lt;'Start here'!$M$6),'Start here'!$M$9*12*(1+Planner!C24)^81,0)</f>
        <v/>
      </c>
      <c r="F87" s="56">
        <f>IF(C87&lt;Planner!C7,0,MAX(0,(Planner!E49*(1+Planner!C24)^81+IF(C87&lt;=Planner!M25,Planner!E50*(1+Planner!C25)^81,Planner!E50*(1+Planner!C25)^Planner!E25*(1+Planner!C24)^(81-Planner!E25))+IF(C87&lt;=Planner!M26,Planner!E51*(1+Planner!C26)^81,0)+SUMPRODUCT((Planner!$D$41:$D$45&gt;81)*Planner!$C$41:$C$45*12))-(IF(AND(C87&gt;=Planner!C7,C87&lt;='Start here'!$M$8),'Start here'!$M$7*(1+Planner!C24)^81,0)))/(1-Planner!C9))</f>
        <v/>
      </c>
      <c r="G87" s="56">
        <f>SUMPRODUCT((Planner!$D$71:$D$79=81)*Planner!$C$71:$C$79*(1+Planner!$N$71:$N$79)^(Planner!$D$71:$D$79))</f>
        <v/>
      </c>
      <c r="H87" s="56">
        <f>(H86+E87-F87-G87)*(1+IF(C87&lt;Planner!C7,Planner!C19,Planner!C20))</f>
        <v/>
      </c>
      <c r="I87" s="54">
        <f>IF(ROUND(H87,0)&lt;0,1,0)</f>
        <v/>
      </c>
    </row>
    <row r="88">
      <c r="B88" s="54" t="n">
        <v>82</v>
      </c>
      <c r="C88" s="54">
        <f>Planner!C6+82</f>
        <v/>
      </c>
      <c r="D88" s="55">
        <f>IF(C88&lt;Planner!C7,"Working","Retired")</f>
        <v/>
      </c>
      <c r="E88" s="56">
        <f>IF(AND(C88&lt;Planner!C7,C88&lt;'Start here'!$M$6),'Start here'!$M$9*12*(1+Planner!C24)^82,0)</f>
        <v/>
      </c>
      <c r="F88" s="56">
        <f>IF(C88&lt;Planner!C7,0,MAX(0,(Planner!E49*(1+Planner!C24)^82+IF(C88&lt;=Planner!M25,Planner!E50*(1+Planner!C25)^82,Planner!E50*(1+Planner!C25)^Planner!E25*(1+Planner!C24)^(82-Planner!E25))+IF(C88&lt;=Planner!M26,Planner!E51*(1+Planner!C26)^82,0)+SUMPRODUCT((Planner!$D$41:$D$45&gt;82)*Planner!$C$41:$C$45*12))-(IF(AND(C88&gt;=Planner!C7,C88&lt;='Start here'!$M$8),'Start here'!$M$7*(1+Planner!C24)^82,0)))/(1-Planner!C9))</f>
        <v/>
      </c>
      <c r="G88" s="56">
        <f>SUMPRODUCT((Planner!$D$71:$D$79=82)*Planner!$C$71:$C$79*(1+Planner!$N$71:$N$79)^(Planner!$D$71:$D$79))</f>
        <v/>
      </c>
      <c r="H88" s="56">
        <f>(H87+E88-F88-G88)*(1+IF(C88&lt;Planner!C7,Planner!C19,Planner!C20))</f>
        <v/>
      </c>
      <c r="I88" s="54">
        <f>IF(ROUND(H88,0)&lt;0,1,0)</f>
        <v/>
      </c>
    </row>
    <row r="89">
      <c r="B89" s="54" t="n">
        <v>83</v>
      </c>
      <c r="C89" s="54">
        <f>Planner!C6+83</f>
        <v/>
      </c>
      <c r="D89" s="55">
        <f>IF(C89&lt;Planner!C7,"Working","Retired")</f>
        <v/>
      </c>
      <c r="E89" s="56">
        <f>IF(AND(C89&lt;Planner!C7,C89&lt;'Start here'!$M$6),'Start here'!$M$9*12*(1+Planner!C24)^83,0)</f>
        <v/>
      </c>
      <c r="F89" s="56">
        <f>IF(C89&lt;Planner!C7,0,MAX(0,(Planner!E49*(1+Planner!C24)^83+IF(C89&lt;=Planner!M25,Planner!E50*(1+Planner!C25)^83,Planner!E50*(1+Planner!C25)^Planner!E25*(1+Planner!C24)^(83-Planner!E25))+IF(C89&lt;=Planner!M26,Planner!E51*(1+Planner!C26)^83,0)+SUMPRODUCT((Planner!$D$41:$D$45&gt;83)*Planner!$C$41:$C$45*12))-(IF(AND(C89&gt;=Planner!C7,C89&lt;='Start here'!$M$8),'Start here'!$M$7*(1+Planner!C24)^83,0)))/(1-Planner!C9))</f>
        <v/>
      </c>
      <c r="G89" s="56">
        <f>SUMPRODUCT((Planner!$D$71:$D$79=83)*Planner!$C$71:$C$79*(1+Planner!$N$71:$N$79)^(Planner!$D$71:$D$79))</f>
        <v/>
      </c>
      <c r="H89" s="56">
        <f>(H88+E89-F89-G89)*(1+IF(C89&lt;Planner!C7,Planner!C19,Planner!C20))</f>
        <v/>
      </c>
      <c r="I89" s="54">
        <f>IF(ROUND(H89,0)&lt;0,1,0)</f>
        <v/>
      </c>
    </row>
    <row r="90">
      <c r="B90" s="54" t="n">
        <v>84</v>
      </c>
      <c r="C90" s="54">
        <f>Planner!C6+84</f>
        <v/>
      </c>
      <c r="D90" s="55">
        <f>IF(C90&lt;Planner!C7,"Working","Retired")</f>
        <v/>
      </c>
      <c r="E90" s="56">
        <f>IF(AND(C90&lt;Planner!C7,C90&lt;'Start here'!$M$6),'Start here'!$M$9*12*(1+Planner!C24)^84,0)</f>
        <v/>
      </c>
      <c r="F90" s="56">
        <f>IF(C90&lt;Planner!C7,0,MAX(0,(Planner!E49*(1+Planner!C24)^84+IF(C90&lt;=Planner!M25,Planner!E50*(1+Planner!C25)^84,Planner!E50*(1+Planner!C25)^Planner!E25*(1+Planner!C24)^(84-Planner!E25))+IF(C90&lt;=Planner!M26,Planner!E51*(1+Planner!C26)^84,0)+SUMPRODUCT((Planner!$D$41:$D$45&gt;84)*Planner!$C$41:$C$45*12))-(IF(AND(C90&gt;=Planner!C7,C90&lt;='Start here'!$M$8),'Start here'!$M$7*(1+Planner!C24)^84,0)))/(1-Planner!C9))</f>
        <v/>
      </c>
      <c r="G90" s="56">
        <f>SUMPRODUCT((Planner!$D$71:$D$79=84)*Planner!$C$71:$C$79*(1+Planner!$N$71:$N$79)^(Planner!$D$71:$D$79))</f>
        <v/>
      </c>
      <c r="H90" s="56">
        <f>(H89+E90-F90-G90)*(1+IF(C90&lt;Planner!C7,Planner!C19,Planner!C20))</f>
        <v/>
      </c>
      <c r="I90" s="54">
        <f>IF(ROUND(H90,0)&lt;0,1,0)</f>
        <v/>
      </c>
    </row>
    <row r="91">
      <c r="B91" s="54" t="n">
        <v>85</v>
      </c>
      <c r="C91" s="54">
        <f>Planner!C6+85</f>
        <v/>
      </c>
      <c r="D91" s="55">
        <f>IF(C91&lt;Planner!C7,"Working","Retired")</f>
        <v/>
      </c>
      <c r="E91" s="56">
        <f>IF(AND(C91&lt;Planner!C7,C91&lt;'Start here'!$M$6),'Start here'!$M$9*12*(1+Planner!C24)^85,0)</f>
        <v/>
      </c>
      <c r="F91" s="56">
        <f>IF(C91&lt;Planner!C7,0,MAX(0,(Planner!E49*(1+Planner!C24)^85+IF(C91&lt;=Planner!M25,Planner!E50*(1+Planner!C25)^85,Planner!E50*(1+Planner!C25)^Planner!E25*(1+Planner!C24)^(85-Planner!E25))+IF(C91&lt;=Planner!M26,Planner!E51*(1+Planner!C26)^85,0)+SUMPRODUCT((Planner!$D$41:$D$45&gt;85)*Planner!$C$41:$C$45*12))-(IF(AND(C91&gt;=Planner!C7,C91&lt;='Start here'!$M$8),'Start here'!$M$7*(1+Planner!C24)^85,0)))/(1-Planner!C9))</f>
        <v/>
      </c>
      <c r="G91" s="56">
        <f>SUMPRODUCT((Planner!$D$71:$D$79=85)*Planner!$C$71:$C$79*(1+Planner!$N$71:$N$79)^(Planner!$D$71:$D$79))</f>
        <v/>
      </c>
      <c r="H91" s="56">
        <f>(H90+E91-F91-G91)*(1+IF(C91&lt;Planner!C7,Planner!C19,Planner!C20))</f>
        <v/>
      </c>
      <c r="I91" s="54">
        <f>IF(ROUND(H91,0)&lt;0,1,0)</f>
        <v/>
      </c>
    </row>
    <row r="92">
      <c r="B92" s="54" t="n">
        <v>86</v>
      </c>
      <c r="C92" s="54">
        <f>Planner!C6+86</f>
        <v/>
      </c>
      <c r="D92" s="55">
        <f>IF(C92&lt;Planner!C7,"Working","Retired")</f>
        <v/>
      </c>
      <c r="E92" s="56">
        <f>IF(AND(C92&lt;Planner!C7,C92&lt;'Start here'!$M$6),'Start here'!$M$9*12*(1+Planner!C24)^86,0)</f>
        <v/>
      </c>
      <c r="F92" s="56">
        <f>IF(C92&lt;Planner!C7,0,MAX(0,(Planner!E49*(1+Planner!C24)^86+IF(C92&lt;=Planner!M25,Planner!E50*(1+Planner!C25)^86,Planner!E50*(1+Planner!C25)^Planner!E25*(1+Planner!C24)^(86-Planner!E25))+IF(C92&lt;=Planner!M26,Planner!E51*(1+Planner!C26)^86,0)+SUMPRODUCT((Planner!$D$41:$D$45&gt;86)*Planner!$C$41:$C$45*12))-(IF(AND(C92&gt;=Planner!C7,C92&lt;='Start here'!$M$8),'Start here'!$M$7*(1+Planner!C24)^86,0)))/(1-Planner!C9))</f>
        <v/>
      </c>
      <c r="G92" s="56">
        <f>SUMPRODUCT((Planner!$D$71:$D$79=86)*Planner!$C$71:$C$79*(1+Planner!$N$71:$N$79)^(Planner!$D$71:$D$79))</f>
        <v/>
      </c>
      <c r="H92" s="56">
        <f>(H91+E92-F92-G92)*(1+IF(C92&lt;Planner!C7,Planner!C19,Planner!C20))</f>
        <v/>
      </c>
      <c r="I92" s="54">
        <f>IF(ROUND(H92,0)&lt;0,1,0)</f>
        <v/>
      </c>
    </row>
    <row r="93">
      <c r="B93" s="54" t="n">
        <v>87</v>
      </c>
      <c r="C93" s="54">
        <f>Planner!C6+87</f>
        <v/>
      </c>
      <c r="D93" s="55">
        <f>IF(C93&lt;Planner!C7,"Working","Retired")</f>
        <v/>
      </c>
      <c r="E93" s="56">
        <f>IF(AND(C93&lt;Planner!C7,C93&lt;'Start here'!$M$6),'Start here'!$M$9*12*(1+Planner!C24)^87,0)</f>
        <v/>
      </c>
      <c r="F93" s="56">
        <f>IF(C93&lt;Planner!C7,0,MAX(0,(Planner!E49*(1+Planner!C24)^87+IF(C93&lt;=Planner!M25,Planner!E50*(1+Planner!C25)^87,Planner!E50*(1+Planner!C25)^Planner!E25*(1+Planner!C24)^(87-Planner!E25))+IF(C93&lt;=Planner!M26,Planner!E51*(1+Planner!C26)^87,0)+SUMPRODUCT((Planner!$D$41:$D$45&gt;87)*Planner!$C$41:$C$45*12))-(IF(AND(C93&gt;=Planner!C7,C93&lt;='Start here'!$M$8),'Start here'!$M$7*(1+Planner!C24)^87,0)))/(1-Planner!C9))</f>
        <v/>
      </c>
      <c r="G93" s="56">
        <f>SUMPRODUCT((Planner!$D$71:$D$79=87)*Planner!$C$71:$C$79*(1+Planner!$N$71:$N$79)^(Planner!$D$71:$D$79))</f>
        <v/>
      </c>
      <c r="H93" s="56">
        <f>(H92+E93-F93-G93)*(1+IF(C93&lt;Planner!C7,Planner!C19,Planner!C20))</f>
        <v/>
      </c>
      <c r="I93" s="54">
        <f>IF(ROUND(H93,0)&lt;0,1,0)</f>
        <v/>
      </c>
    </row>
    <row r="94">
      <c r="B94" s="54" t="n">
        <v>88</v>
      </c>
      <c r="C94" s="54">
        <f>Planner!C6+88</f>
        <v/>
      </c>
      <c r="D94" s="55">
        <f>IF(C94&lt;Planner!C7,"Working","Retired")</f>
        <v/>
      </c>
      <c r="E94" s="56">
        <f>IF(AND(C94&lt;Planner!C7,C94&lt;'Start here'!$M$6),'Start here'!$M$9*12*(1+Planner!C24)^88,0)</f>
        <v/>
      </c>
      <c r="F94" s="56">
        <f>IF(C94&lt;Planner!C7,0,MAX(0,(Planner!E49*(1+Planner!C24)^88+IF(C94&lt;=Planner!M25,Planner!E50*(1+Planner!C25)^88,Planner!E50*(1+Planner!C25)^Planner!E25*(1+Planner!C24)^(88-Planner!E25))+IF(C94&lt;=Planner!M26,Planner!E51*(1+Planner!C26)^88,0)+SUMPRODUCT((Planner!$D$41:$D$45&gt;88)*Planner!$C$41:$C$45*12))-(IF(AND(C94&gt;=Planner!C7,C94&lt;='Start here'!$M$8),'Start here'!$M$7*(1+Planner!C24)^88,0)))/(1-Planner!C9))</f>
        <v/>
      </c>
      <c r="G94" s="56">
        <f>SUMPRODUCT((Planner!$D$71:$D$79=88)*Planner!$C$71:$C$79*(1+Planner!$N$71:$N$79)^(Planner!$D$71:$D$79))</f>
        <v/>
      </c>
      <c r="H94" s="56">
        <f>(H93+E94-F94-G94)*(1+IF(C94&lt;Planner!C7,Planner!C19,Planner!C20))</f>
        <v/>
      </c>
      <c r="I94" s="54">
        <f>IF(ROUND(H94,0)&lt;0,1,0)</f>
        <v/>
      </c>
    </row>
    <row r="95">
      <c r="B95" s="54" t="n">
        <v>89</v>
      </c>
      <c r="C95" s="54">
        <f>Planner!C6+89</f>
        <v/>
      </c>
      <c r="D95" s="55">
        <f>IF(C95&lt;Planner!C7,"Working","Retired")</f>
        <v/>
      </c>
      <c r="E95" s="56">
        <f>IF(AND(C95&lt;Planner!C7,C95&lt;'Start here'!$M$6),'Start here'!$M$9*12*(1+Planner!C24)^89,0)</f>
        <v/>
      </c>
      <c r="F95" s="56">
        <f>IF(C95&lt;Planner!C7,0,MAX(0,(Planner!E49*(1+Planner!C24)^89+IF(C95&lt;=Planner!M25,Planner!E50*(1+Planner!C25)^89,Planner!E50*(1+Planner!C25)^Planner!E25*(1+Planner!C24)^(89-Planner!E25))+IF(C95&lt;=Planner!M26,Planner!E51*(1+Planner!C26)^89,0)+SUMPRODUCT((Planner!$D$41:$D$45&gt;89)*Planner!$C$41:$C$45*12))-(IF(AND(C95&gt;=Planner!C7,C95&lt;='Start here'!$M$8),'Start here'!$M$7*(1+Planner!C24)^89,0)))/(1-Planner!C9))</f>
        <v/>
      </c>
      <c r="G95" s="56">
        <f>SUMPRODUCT((Planner!$D$71:$D$79=89)*Planner!$C$71:$C$79*(1+Planner!$N$71:$N$79)^(Planner!$D$71:$D$79))</f>
        <v/>
      </c>
      <c r="H95" s="56">
        <f>(H94+E95-F95-G95)*(1+IF(C95&lt;Planner!C7,Planner!C19,Planner!C20))</f>
        <v/>
      </c>
      <c r="I95" s="54">
        <f>IF(ROUND(H95,0)&lt;0,1,0)</f>
        <v/>
      </c>
    </row>
    <row r="96">
      <c r="B96" s="54" t="n">
        <v>90</v>
      </c>
      <c r="C96" s="54">
        <f>Planner!C6+90</f>
        <v/>
      </c>
      <c r="D96" s="55">
        <f>IF(C96&lt;Planner!C7,"Working","Retired")</f>
        <v/>
      </c>
      <c r="E96" s="56">
        <f>IF(AND(C96&lt;Planner!C7,C96&lt;'Start here'!$M$6),'Start here'!$M$9*12*(1+Planner!C24)^90,0)</f>
        <v/>
      </c>
      <c r="F96" s="56">
        <f>IF(C96&lt;Planner!C7,0,MAX(0,(Planner!E49*(1+Planner!C24)^90+IF(C96&lt;=Planner!M25,Planner!E50*(1+Planner!C25)^90,Planner!E50*(1+Planner!C25)^Planner!E25*(1+Planner!C24)^(90-Planner!E25))+IF(C96&lt;=Planner!M26,Planner!E51*(1+Planner!C26)^90,0)+SUMPRODUCT((Planner!$D$41:$D$45&gt;90)*Planner!$C$41:$C$45*12))-(IF(AND(C96&gt;=Planner!C7,C96&lt;='Start here'!$M$8),'Start here'!$M$7*(1+Planner!C24)^90,0)))/(1-Planner!C9))</f>
        <v/>
      </c>
      <c r="G96" s="56">
        <f>SUMPRODUCT((Planner!$D$71:$D$79=90)*Planner!$C$71:$C$79*(1+Planner!$N$71:$N$79)^(Planner!$D$71:$D$79))</f>
        <v/>
      </c>
      <c r="H96" s="56">
        <f>(H95+E96-F96-G96)*(1+IF(C96&lt;Planner!C7,Planner!C19,Planner!C20))</f>
        <v/>
      </c>
      <c r="I96" s="54">
        <f>IF(ROUND(H96,0)&lt;0,1,0)</f>
        <v/>
      </c>
    </row>
    <row r="97">
      <c r="B97" s="54" t="n">
        <v>91</v>
      </c>
      <c r="C97" s="54">
        <f>Planner!C6+91</f>
        <v/>
      </c>
      <c r="D97" s="55">
        <f>IF(C97&lt;Planner!C7,"Working","Retired")</f>
        <v/>
      </c>
      <c r="E97" s="56">
        <f>IF(AND(C97&lt;Planner!C7,C97&lt;'Start here'!$M$6),'Start here'!$M$9*12*(1+Planner!C24)^91,0)</f>
        <v/>
      </c>
      <c r="F97" s="56">
        <f>IF(C97&lt;Planner!C7,0,MAX(0,(Planner!E49*(1+Planner!C24)^91+IF(C97&lt;=Planner!M25,Planner!E50*(1+Planner!C25)^91,Planner!E50*(1+Planner!C25)^Planner!E25*(1+Planner!C24)^(91-Planner!E25))+IF(C97&lt;=Planner!M26,Planner!E51*(1+Planner!C26)^91,0)+SUMPRODUCT((Planner!$D$41:$D$45&gt;91)*Planner!$C$41:$C$45*12))-(IF(AND(C97&gt;=Planner!C7,C97&lt;='Start here'!$M$8),'Start here'!$M$7*(1+Planner!C24)^91,0)))/(1-Planner!C9))</f>
        <v/>
      </c>
      <c r="G97" s="56">
        <f>SUMPRODUCT((Planner!$D$71:$D$79=91)*Planner!$C$71:$C$79*(1+Planner!$N$71:$N$79)^(Planner!$D$71:$D$79))</f>
        <v/>
      </c>
      <c r="H97" s="56">
        <f>(H96+E97-F97-G97)*(1+IF(C97&lt;Planner!C7,Planner!C19,Planner!C20))</f>
        <v/>
      </c>
      <c r="I97" s="54">
        <f>IF(ROUND(H97,0)&lt;0,1,0)</f>
        <v/>
      </c>
    </row>
    <row r="98">
      <c r="B98" s="54" t="n">
        <v>92</v>
      </c>
      <c r="C98" s="54">
        <f>Planner!C6+92</f>
        <v/>
      </c>
      <c r="D98" s="55">
        <f>IF(C98&lt;Planner!C7,"Working","Retired")</f>
        <v/>
      </c>
      <c r="E98" s="56">
        <f>IF(AND(C98&lt;Planner!C7,C98&lt;'Start here'!$M$6),'Start here'!$M$9*12*(1+Planner!C24)^92,0)</f>
        <v/>
      </c>
      <c r="F98" s="56">
        <f>IF(C98&lt;Planner!C7,0,MAX(0,(Planner!E49*(1+Planner!C24)^92+IF(C98&lt;=Planner!M25,Planner!E50*(1+Planner!C25)^92,Planner!E50*(1+Planner!C25)^Planner!E25*(1+Planner!C24)^(92-Planner!E25))+IF(C98&lt;=Planner!M26,Planner!E51*(1+Planner!C26)^92,0)+SUMPRODUCT((Planner!$D$41:$D$45&gt;92)*Planner!$C$41:$C$45*12))-(IF(AND(C98&gt;=Planner!C7,C98&lt;='Start here'!$M$8),'Start here'!$M$7*(1+Planner!C24)^92,0)))/(1-Planner!C9))</f>
        <v/>
      </c>
      <c r="G98" s="56">
        <f>SUMPRODUCT((Planner!$D$71:$D$79=92)*Planner!$C$71:$C$79*(1+Planner!$N$71:$N$79)^(Planner!$D$71:$D$79))</f>
        <v/>
      </c>
      <c r="H98" s="56">
        <f>(H97+E98-F98-G98)*(1+IF(C98&lt;Planner!C7,Planner!C19,Planner!C20))</f>
        <v/>
      </c>
      <c r="I98" s="54">
        <f>IF(ROUND(H98,0)&lt;0,1,0)</f>
        <v/>
      </c>
    </row>
    <row r="99">
      <c r="B99" s="54" t="n">
        <v>93</v>
      </c>
      <c r="C99" s="54">
        <f>Planner!C6+93</f>
        <v/>
      </c>
      <c r="D99" s="55">
        <f>IF(C99&lt;Planner!C7,"Working","Retired")</f>
        <v/>
      </c>
      <c r="E99" s="56">
        <f>IF(AND(C99&lt;Planner!C7,C99&lt;'Start here'!$M$6),'Start here'!$M$9*12*(1+Planner!C24)^93,0)</f>
        <v/>
      </c>
      <c r="F99" s="56">
        <f>IF(C99&lt;Planner!C7,0,MAX(0,(Planner!E49*(1+Planner!C24)^93+IF(C99&lt;=Planner!M25,Planner!E50*(1+Planner!C25)^93,Planner!E50*(1+Planner!C25)^Planner!E25*(1+Planner!C24)^(93-Planner!E25))+IF(C99&lt;=Planner!M26,Planner!E51*(1+Planner!C26)^93,0)+SUMPRODUCT((Planner!$D$41:$D$45&gt;93)*Planner!$C$41:$C$45*12))-(IF(AND(C99&gt;=Planner!C7,C99&lt;='Start here'!$M$8),'Start here'!$M$7*(1+Planner!C24)^93,0)))/(1-Planner!C9))</f>
        <v/>
      </c>
      <c r="G99" s="56">
        <f>SUMPRODUCT((Planner!$D$71:$D$79=93)*Planner!$C$71:$C$79*(1+Planner!$N$71:$N$79)^(Planner!$D$71:$D$79))</f>
        <v/>
      </c>
      <c r="H99" s="56">
        <f>(H98+E99-F99-G99)*(1+IF(C99&lt;Planner!C7,Planner!C19,Planner!C20))</f>
        <v/>
      </c>
      <c r="I99" s="54">
        <f>IF(ROUND(H99,0)&lt;0,1,0)</f>
        <v/>
      </c>
    </row>
    <row r="100">
      <c r="B100" s="54" t="n">
        <v>94</v>
      </c>
      <c r="C100" s="54">
        <f>Planner!C6+94</f>
        <v/>
      </c>
      <c r="D100" s="55">
        <f>IF(C100&lt;Planner!C7,"Working","Retired")</f>
        <v/>
      </c>
      <c r="E100" s="56">
        <f>IF(AND(C100&lt;Planner!C7,C100&lt;'Start here'!$M$6),'Start here'!$M$9*12*(1+Planner!C24)^94,0)</f>
        <v/>
      </c>
      <c r="F100" s="56">
        <f>IF(C100&lt;Planner!C7,0,MAX(0,(Planner!E49*(1+Planner!C24)^94+IF(C100&lt;=Planner!M25,Planner!E50*(1+Planner!C25)^94,Planner!E50*(1+Planner!C25)^Planner!E25*(1+Planner!C24)^(94-Planner!E25))+IF(C100&lt;=Planner!M26,Planner!E51*(1+Planner!C26)^94,0)+SUMPRODUCT((Planner!$D$41:$D$45&gt;94)*Planner!$C$41:$C$45*12))-(IF(AND(C100&gt;=Planner!C7,C100&lt;='Start here'!$M$8),'Start here'!$M$7*(1+Planner!C24)^94,0)))/(1-Planner!C9))</f>
        <v/>
      </c>
      <c r="G100" s="56">
        <f>SUMPRODUCT((Planner!$D$71:$D$79=94)*Planner!$C$71:$C$79*(1+Planner!$N$71:$N$79)^(Planner!$D$71:$D$79))</f>
        <v/>
      </c>
      <c r="H100" s="56">
        <f>(H99+E100-F100-G100)*(1+IF(C100&lt;Planner!C7,Planner!C19,Planner!C20))</f>
        <v/>
      </c>
      <c r="I100" s="54">
        <f>IF(ROUND(H100,0)&lt;0,1,0)</f>
        <v/>
      </c>
    </row>
    <row r="101">
      <c r="B101" s="54" t="n">
        <v>95</v>
      </c>
      <c r="C101" s="54">
        <f>Planner!C6+95</f>
        <v/>
      </c>
      <c r="D101" s="55">
        <f>IF(C101&lt;Planner!C7,"Working","Retired")</f>
        <v/>
      </c>
      <c r="E101" s="56">
        <f>IF(AND(C101&lt;Planner!C7,C101&lt;'Start here'!$M$6),'Start here'!$M$9*12*(1+Planner!C24)^95,0)</f>
        <v/>
      </c>
      <c r="F101" s="56">
        <f>IF(C101&lt;Planner!C7,0,MAX(0,(Planner!E49*(1+Planner!C24)^95+IF(C101&lt;=Planner!M25,Planner!E50*(1+Planner!C25)^95,Planner!E50*(1+Planner!C25)^Planner!E25*(1+Planner!C24)^(95-Planner!E25))+IF(C101&lt;=Planner!M26,Planner!E51*(1+Planner!C26)^95,0)+SUMPRODUCT((Planner!$D$41:$D$45&gt;95)*Planner!$C$41:$C$45*12))-(IF(AND(C101&gt;=Planner!C7,C101&lt;='Start here'!$M$8),'Start here'!$M$7*(1+Planner!C24)^95,0)))/(1-Planner!C9))</f>
        <v/>
      </c>
      <c r="G101" s="56">
        <f>SUMPRODUCT((Planner!$D$71:$D$79=95)*Planner!$C$71:$C$79*(1+Planner!$N$71:$N$79)^(Planner!$D$71:$D$79))</f>
        <v/>
      </c>
      <c r="H101" s="56">
        <f>(H100+E101-F101-G101)*(1+IF(C101&lt;Planner!C7,Planner!C19,Planner!C20))</f>
        <v/>
      </c>
      <c r="I101" s="54">
        <f>IF(ROUND(H101,0)&lt;0,1,0)</f>
        <v/>
      </c>
    </row>
    <row r="102">
      <c r="B102" s="54" t="n">
        <v>96</v>
      </c>
      <c r="C102" s="54">
        <f>Planner!C6+96</f>
        <v/>
      </c>
      <c r="D102" s="55">
        <f>IF(C102&lt;Planner!C7,"Working","Retired")</f>
        <v/>
      </c>
      <c r="E102" s="56">
        <f>IF(AND(C102&lt;Planner!C7,C102&lt;'Start here'!$M$6),'Start here'!$M$9*12*(1+Planner!C24)^96,0)</f>
        <v/>
      </c>
      <c r="F102" s="56">
        <f>IF(C102&lt;Planner!C7,0,MAX(0,(Planner!E49*(1+Planner!C24)^96+IF(C102&lt;=Planner!M25,Planner!E50*(1+Planner!C25)^96,Planner!E50*(1+Planner!C25)^Planner!E25*(1+Planner!C24)^(96-Planner!E25))+IF(C102&lt;=Planner!M26,Planner!E51*(1+Planner!C26)^96,0)+SUMPRODUCT((Planner!$D$41:$D$45&gt;96)*Planner!$C$41:$C$45*12))-(IF(AND(C102&gt;=Planner!C7,C102&lt;='Start here'!$M$8),'Start here'!$M$7*(1+Planner!C24)^96,0)))/(1-Planner!C9))</f>
        <v/>
      </c>
      <c r="G102" s="56">
        <f>SUMPRODUCT((Planner!$D$71:$D$79=96)*Planner!$C$71:$C$79*(1+Planner!$N$71:$N$79)^(Planner!$D$71:$D$79))</f>
        <v/>
      </c>
      <c r="H102" s="56">
        <f>(H101+E102-F102-G102)*(1+IF(C102&lt;Planner!C7,Planner!C19,Planner!C20))</f>
        <v/>
      </c>
      <c r="I102" s="54">
        <f>IF(ROUND(H102,0)&lt;0,1,0)</f>
        <v/>
      </c>
    </row>
    <row r="103">
      <c r="B103" s="54" t="n">
        <v>97</v>
      </c>
      <c r="C103" s="54">
        <f>Planner!C6+97</f>
        <v/>
      </c>
      <c r="D103" s="55">
        <f>IF(C103&lt;Planner!C7,"Working","Retired")</f>
        <v/>
      </c>
      <c r="E103" s="56">
        <f>IF(AND(C103&lt;Planner!C7,C103&lt;'Start here'!$M$6),'Start here'!$M$9*12*(1+Planner!C24)^97,0)</f>
        <v/>
      </c>
      <c r="F103" s="56">
        <f>IF(C103&lt;Planner!C7,0,MAX(0,(Planner!E49*(1+Planner!C24)^97+IF(C103&lt;=Planner!M25,Planner!E50*(1+Planner!C25)^97,Planner!E50*(1+Planner!C25)^Planner!E25*(1+Planner!C24)^(97-Planner!E25))+IF(C103&lt;=Planner!M26,Planner!E51*(1+Planner!C26)^97,0)+SUMPRODUCT((Planner!$D$41:$D$45&gt;97)*Planner!$C$41:$C$45*12))-(IF(AND(C103&gt;=Planner!C7,C103&lt;='Start here'!$M$8),'Start here'!$M$7*(1+Planner!C24)^97,0)))/(1-Planner!C9))</f>
        <v/>
      </c>
      <c r="G103" s="56">
        <f>SUMPRODUCT((Planner!$D$71:$D$79=97)*Planner!$C$71:$C$79*(1+Planner!$N$71:$N$79)^(Planner!$D$71:$D$79))</f>
        <v/>
      </c>
      <c r="H103" s="56">
        <f>(H102+E103-F103-G103)*(1+IF(C103&lt;Planner!C7,Planner!C19,Planner!C20))</f>
        <v/>
      </c>
      <c r="I103" s="54">
        <f>IF(ROUND(H103,0)&lt;0,1,0)</f>
        <v/>
      </c>
    </row>
    <row r="104">
      <c r="B104" s="54" t="n">
        <v>98</v>
      </c>
      <c r="C104" s="54">
        <f>Planner!C6+98</f>
        <v/>
      </c>
      <c r="D104" s="55">
        <f>IF(C104&lt;Planner!C7,"Working","Retired")</f>
        <v/>
      </c>
      <c r="E104" s="56">
        <f>IF(AND(C104&lt;Planner!C7,C104&lt;'Start here'!$M$6),'Start here'!$M$9*12*(1+Planner!C24)^98,0)</f>
        <v/>
      </c>
      <c r="F104" s="56">
        <f>IF(C104&lt;Planner!C7,0,MAX(0,(Planner!E49*(1+Planner!C24)^98+IF(C104&lt;=Planner!M25,Planner!E50*(1+Planner!C25)^98,Planner!E50*(1+Planner!C25)^Planner!E25*(1+Planner!C24)^(98-Planner!E25))+IF(C104&lt;=Planner!M26,Planner!E51*(1+Planner!C26)^98,0)+SUMPRODUCT((Planner!$D$41:$D$45&gt;98)*Planner!$C$41:$C$45*12))-(IF(AND(C104&gt;=Planner!C7,C104&lt;='Start here'!$M$8),'Start here'!$M$7*(1+Planner!C24)^98,0)))/(1-Planner!C9))</f>
        <v/>
      </c>
      <c r="G104" s="56">
        <f>SUMPRODUCT((Planner!$D$71:$D$79=98)*Planner!$C$71:$C$79*(1+Planner!$N$71:$N$79)^(Planner!$D$71:$D$79))</f>
        <v/>
      </c>
      <c r="H104" s="56">
        <f>(H103+E104-F104-G104)*(1+IF(C104&lt;Planner!C7,Planner!C19,Planner!C20))</f>
        <v/>
      </c>
      <c r="I104" s="54">
        <f>IF(ROUND(H104,0)&lt;0,1,0)</f>
        <v/>
      </c>
    </row>
    <row r="105">
      <c r="B105" s="54" t="n">
        <v>99</v>
      </c>
      <c r="C105" s="54">
        <f>Planner!C6+99</f>
        <v/>
      </c>
      <c r="D105" s="55">
        <f>IF(C105&lt;Planner!C7,"Working","Retired")</f>
        <v/>
      </c>
      <c r="E105" s="56">
        <f>IF(AND(C105&lt;Planner!C7,C105&lt;'Start here'!$M$6),'Start here'!$M$9*12*(1+Planner!C24)^99,0)</f>
        <v/>
      </c>
      <c r="F105" s="56">
        <f>IF(C105&lt;Planner!C7,0,MAX(0,(Planner!E49*(1+Planner!C24)^99+IF(C105&lt;=Planner!M25,Planner!E50*(1+Planner!C25)^99,Planner!E50*(1+Planner!C25)^Planner!E25*(1+Planner!C24)^(99-Planner!E25))+IF(C105&lt;=Planner!M26,Planner!E51*(1+Planner!C26)^99,0)+SUMPRODUCT((Planner!$D$41:$D$45&gt;99)*Planner!$C$41:$C$45*12))-(IF(AND(C105&gt;=Planner!C7,C105&lt;='Start here'!$M$8),'Start here'!$M$7*(1+Planner!C24)^99,0)))/(1-Planner!C9))</f>
        <v/>
      </c>
      <c r="G105" s="56">
        <f>SUMPRODUCT((Planner!$D$71:$D$79=99)*Planner!$C$71:$C$79*(1+Planner!$N$71:$N$79)^(Planner!$D$71:$D$79))</f>
        <v/>
      </c>
      <c r="H105" s="56">
        <f>(H104+E105-F105-G105)*(1+IF(C105&lt;Planner!C7,Planner!C19,Planner!C20))</f>
        <v/>
      </c>
      <c r="I105" s="54">
        <f>IF(ROUND(H105,0)&lt;0,1,0)</f>
        <v/>
      </c>
    </row>
    <row r="106">
      <c r="B106" s="54" t="n">
        <v>100</v>
      </c>
      <c r="C106" s="54">
        <f>Planner!C6+100</f>
        <v/>
      </c>
      <c r="D106" s="55">
        <f>IF(C106&lt;Planner!C7,"Working","Retired")</f>
        <v/>
      </c>
      <c r="E106" s="56">
        <f>IF(AND(C106&lt;Planner!C7,C106&lt;'Start here'!$M$6),'Start here'!$M$9*12*(1+Planner!C24)^100,0)</f>
        <v/>
      </c>
      <c r="F106" s="56">
        <f>IF(C106&lt;Planner!C7,0,MAX(0,(Planner!E49*(1+Planner!C24)^100+IF(C106&lt;=Planner!M25,Planner!E50*(1+Planner!C25)^100,Planner!E50*(1+Planner!C25)^Planner!E25*(1+Planner!C24)^(100-Planner!E25))+IF(C106&lt;=Planner!M26,Planner!E51*(1+Planner!C26)^100,0)+SUMPRODUCT((Planner!$D$41:$D$45&gt;100)*Planner!$C$41:$C$45*12))-(IF(AND(C106&gt;=Planner!C7,C106&lt;='Start here'!$M$8),'Start here'!$M$7*(1+Planner!C24)^100,0)))/(1-Planner!C9))</f>
        <v/>
      </c>
      <c r="G106" s="56">
        <f>SUMPRODUCT((Planner!$D$71:$D$79=100)*Planner!$C$71:$C$79*(1+Planner!$N$71:$N$79)^(Planner!$D$71:$D$79))</f>
        <v/>
      </c>
      <c r="H106" s="56">
        <f>(H105+E106-F106-G106)*(1+IF(C106&lt;Planner!C7,Planner!C19,Planner!C20))</f>
        <v/>
      </c>
      <c r="I106" s="54">
        <f>IF(ROUND(H106,0)&lt;0,1,0)</f>
        <v/>
      </c>
    </row>
    <row r="107">
      <c r="B107" s="54" t="n">
        <v>101</v>
      </c>
      <c r="C107" s="54">
        <f>Planner!C6+101</f>
        <v/>
      </c>
      <c r="D107" s="55">
        <f>IF(C107&lt;Planner!C7,"Working","Retired")</f>
        <v/>
      </c>
      <c r="E107" s="56">
        <f>IF(AND(C107&lt;Planner!C7,C107&lt;'Start here'!$M$6),'Start here'!$M$9*12*(1+Planner!C24)^101,0)</f>
        <v/>
      </c>
      <c r="F107" s="56">
        <f>IF(C107&lt;Planner!C7,0,MAX(0,(Planner!E49*(1+Planner!C24)^101+IF(C107&lt;=Planner!M25,Planner!E50*(1+Planner!C25)^101,Planner!E50*(1+Planner!C25)^Planner!E25*(1+Planner!C24)^(101-Planner!E25))+IF(C107&lt;=Planner!M26,Planner!E51*(1+Planner!C26)^101,0)+SUMPRODUCT((Planner!$D$41:$D$45&gt;101)*Planner!$C$41:$C$45*12))-(IF(AND(C107&gt;=Planner!C7,C107&lt;='Start here'!$M$8),'Start here'!$M$7*(1+Planner!C24)^101,0)))/(1-Planner!C9))</f>
        <v/>
      </c>
      <c r="G107" s="56">
        <f>SUMPRODUCT((Planner!$D$71:$D$79=101)*Planner!$C$71:$C$79*(1+Planner!$N$71:$N$79)^(Planner!$D$71:$D$79))</f>
        <v/>
      </c>
      <c r="H107" s="56">
        <f>(H106+E107-F107-G107)*(1+IF(C107&lt;Planner!C7,Planner!C19,Planner!C20))</f>
        <v/>
      </c>
      <c r="I107" s="54">
        <f>IF(ROUND(H107,0)&lt;0,1,0)</f>
        <v/>
      </c>
    </row>
    <row r="108">
      <c r="B108" s="54" t="n">
        <v>102</v>
      </c>
      <c r="C108" s="54">
        <f>Planner!C6+102</f>
        <v/>
      </c>
      <c r="D108" s="55">
        <f>IF(C108&lt;Planner!C7,"Working","Retired")</f>
        <v/>
      </c>
      <c r="E108" s="56">
        <f>IF(AND(C108&lt;Planner!C7,C108&lt;'Start here'!$M$6),'Start here'!$M$9*12*(1+Planner!C24)^102,0)</f>
        <v/>
      </c>
      <c r="F108" s="56">
        <f>IF(C108&lt;Planner!C7,0,MAX(0,(Planner!E49*(1+Planner!C24)^102+IF(C108&lt;=Planner!M25,Planner!E50*(1+Planner!C25)^102,Planner!E50*(1+Planner!C25)^Planner!E25*(1+Planner!C24)^(102-Planner!E25))+IF(C108&lt;=Planner!M26,Planner!E51*(1+Planner!C26)^102,0)+SUMPRODUCT((Planner!$D$41:$D$45&gt;102)*Planner!$C$41:$C$45*12))-(IF(AND(C108&gt;=Planner!C7,C108&lt;='Start here'!$M$8),'Start here'!$M$7*(1+Planner!C24)^102,0)))/(1-Planner!C9))</f>
        <v/>
      </c>
      <c r="G108" s="56">
        <f>SUMPRODUCT((Planner!$D$71:$D$79=102)*Planner!$C$71:$C$79*(1+Planner!$N$71:$N$79)^(Planner!$D$71:$D$79))</f>
        <v/>
      </c>
      <c r="H108" s="56">
        <f>(H107+E108-F108-G108)*(1+IF(C108&lt;Planner!C7,Planner!C19,Planner!C20))</f>
        <v/>
      </c>
      <c r="I108" s="54">
        <f>IF(ROUND(H108,0)&lt;0,1,0)</f>
        <v/>
      </c>
    </row>
    <row r="110">
      <c r="B110" s="8" t="inlineStr">
        <is>
          <t>An educational model, not financial advice. planMyFIRE is not a SEBI-registered adviser. Returns are assumptions, not forecasts.</t>
        </is>
      </c>
    </row>
    <row r="111">
      <c r="B111" s="10" t="inlineStr">
        <is>
          <t>PlanMyFIRE  ·  2026 edition  ·  planmyfire.in/planner  —  the guide, the calculators and the newest version of this sheet all live here</t>
        </is>
      </c>
    </row>
    <row r="112">
      <c r="B112" s="10" t="inlineStr">
        <is>
          <t>Prefer this as a web tool? The SWP calculator does the same drawdown in your browser →</t>
        </is>
      </c>
    </row>
  </sheetData>
  <sheetProtection selectLockedCells="0" selectUnlockedCells="0" sheet="1" objects="0" insertRows="1" insertHyperlinks="1" autoFilter="1" scenarios="0" formatColumns="1" deleteColumns="1" insertColumns="1" pivotTables="1" deleteRows="1" formatCells="1" formatRows="1" sort="1"/>
  <mergeCells count="5">
    <mergeCell ref="B2:I2"/>
    <mergeCell ref="B111:I111"/>
    <mergeCell ref="B3:I3"/>
    <mergeCell ref="B110:I110"/>
    <mergeCell ref="B4:I4"/>
  </mergeCells>
  <conditionalFormatting sqref="H6:H108">
    <cfRule type="cellIs" priority="1" operator="lessThan" dxfId="2" stopIfTrue="1">
      <formula>0</formula>
    </cfRule>
    <cfRule type="colorScale" priority="2">
      <colorScale>
        <cfvo type="num" val="0"/>
        <cfvo type="max"/>
        <color rgb="00FFFFFF"/>
        <color rgb="00BBF7D0"/>
      </colorScale>
    </cfRule>
  </conditionalFormatting>
  <hyperlinks>
    <hyperlink xmlns:r="http://schemas.openxmlformats.org/officeDocument/2006/relationships" ref="B111" r:id="rId1"/>
    <hyperlink xmlns:r="http://schemas.openxmlformats.org/officeDocument/2006/relationships" ref="B112" r:id="rId2"/>
  </hyperlinks>
  <pageMargins left="0.75" right="0.75" top="1" bottom="1" header="0.5" footer="0.5"/>
  <drawing xmlns:r="http://schemas.openxmlformats.org/officeDocument/2006/relationships" r:id="rId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PlanMyFIRE - planmyfire.in</dc:creator>
  <dc:title>PlanMyFIRE FIRE Planner (2026 edition)</dc:title>
  <dc:description>A free India-specific FIRE planner. 6% inflation, a 3.3% withdrawal rate and a corpus solved from the drawdown rather than assumed. Guide and newest version: https://planmyfire.in/planner</dc:description>
  <dc:subject>India-specific FIRE and retirement planner</dc:subject>
  <dcterms:created xsi:type="dcterms:W3CDTF">2026-08-11T12:50:01Z</dcterms:created>
  <dcterms:modified xsi:type="dcterms:W3CDTF">2026-08-11T12:50:02Z</dcterms:modified>
  <cp:lastModifiedBy>PlanMyFIRE - planmyfire.in</cp:lastModifiedBy>
  <cp:category>Personal finance</cp:category>
  <cp:keywords>FIRE India, retirement planner, SWP, corpus, planmyfire.in</cp:keywords>
</cp:coreProperties>
</file>